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1055" activeTab="4"/>
  </bookViews>
  <sheets>
    <sheet name="Нулевое чтение" sheetId="46" r:id="rId1"/>
    <sheet name="Утверждение" sheetId="47" r:id="rId2"/>
    <sheet name="Поправка №1" sheetId="48" r:id="rId3"/>
    <sheet name="Поправка №2" sheetId="49" r:id="rId4"/>
    <sheet name="Поправка №3" sheetId="50" r:id="rId5"/>
  </sheets>
  <externalReferences>
    <externalReference r:id="rId6"/>
    <externalReference r:id="rId7"/>
    <externalReference r:id="rId8"/>
    <externalReference r:id="rId9"/>
  </externalReferences>
  <definedNames>
    <definedName name="_1_Excel_BuiltIn_Print_Titles_1" localSheetId="0">#REF!</definedName>
    <definedName name="_2_Excel_BuiltIn_Print_Titles_1" localSheetId="2">#REF!</definedName>
    <definedName name="_2_Excel_BuiltIn_Print_Titles_1" localSheetId="3">#REF!</definedName>
    <definedName name="_2_Excel_BuiltIn_Print_Titles_1" localSheetId="4">#REF!</definedName>
    <definedName name="_3_Excel_BuiltIn_Print_Titles_1" localSheetId="1">#REF!</definedName>
    <definedName name="_4_Excel_BuiltIn_Print_Titles_1" localSheetId="3">#REF!</definedName>
    <definedName name="_4_Excel_BuiltIn_Print_Titles_1" localSheetId="4">#REF!</definedName>
    <definedName name="_4_Excel_BuiltIn_Print_Titles_1">#REF!</definedName>
    <definedName name="_5Excel_BuiltIn_Print_Titles_1" localSheetId="0">#REF!</definedName>
    <definedName name="_6Excel_BuiltIn_Print_Titles_1" localSheetId="2">#REF!</definedName>
    <definedName name="_6Excel_BuiltIn_Print_Titles_1" localSheetId="3">#REF!</definedName>
    <definedName name="_6Excel_BuiltIn_Print_Titles_1" localSheetId="4">#REF!</definedName>
    <definedName name="_7Excel_BuiltIn_Print_Titles_1" localSheetId="1">#REF!</definedName>
    <definedName name="_8Excel_BuiltIn_Print_Titles_1" localSheetId="3">#REF!</definedName>
    <definedName name="_8Excel_BuiltIn_Print_Titles_1" localSheetId="4">#REF!</definedName>
    <definedName name="_8Excel_BuiltIn_Print_Titles_1">#REF!</definedName>
    <definedName name="Excel_BuiltIn_Print_Area_1" localSheetId="3">#REF!</definedName>
    <definedName name="Excel_BuiltIn_Print_Area_1" localSheetId="4">#REF!</definedName>
    <definedName name="Excel_BuiltIn_Print_Area_1">#REF!</definedName>
    <definedName name="Excel_BuiltIn_Print_Area_2" localSheetId="3">#REF!</definedName>
    <definedName name="Excel_BuiltIn_Print_Area_2" localSheetId="4">#REF!</definedName>
    <definedName name="Excel_BuiltIn_Print_Area_2">#REF!</definedName>
    <definedName name="Excel_BuiltIn_Print_Titles" localSheetId="0">#REF!</definedName>
    <definedName name="Excel_BuiltIn_Print_Titles" localSheetId="2">#REF!</definedName>
    <definedName name="Excel_BuiltIn_Print_Titles" localSheetId="3">#REF!</definedName>
    <definedName name="Excel_BuiltIn_Print_Titles" localSheetId="4">#REF!</definedName>
    <definedName name="Excel_BuiltIn_Print_Titles" localSheetId="1">#REF!</definedName>
    <definedName name="Excel_BuiltIn_Print_Titles">#REF!</definedName>
    <definedName name="Excel_BuiltIn_Print_Titles_1" localSheetId="3">#REF!</definedName>
    <definedName name="Excel_BuiltIn_Print_Titles_1" localSheetId="4">#REF!</definedName>
    <definedName name="Excel_BuiltIn_Print_Titles_1">#REF!</definedName>
    <definedName name="Excel_BuiltIn_Print_Titles_1_1" localSheetId="3">#REF!</definedName>
    <definedName name="Excel_BuiltIn_Print_Titles_1_1" localSheetId="4">#REF!</definedName>
    <definedName name="Excel_BuiltIn_Print_Titles_1_1">#REF!</definedName>
    <definedName name="title" localSheetId="0">'[1]Огл. Графиков'!$B$2:$B$31</definedName>
    <definedName name="title" localSheetId="2">'[1]Огл. Графиков'!$B$2:$B$31</definedName>
    <definedName name="title" localSheetId="3">'[1]Огл. Графиков'!$B$2:$B$31</definedName>
    <definedName name="title" localSheetId="4">'[1]Огл. Графиков'!$B$2:$B$31</definedName>
    <definedName name="title" localSheetId="1">'[1]Огл. Графиков'!$B$2:$B$31</definedName>
    <definedName name="title">'[2]Огл. Графиков'!$B$2:$B$31</definedName>
    <definedName name="а1" localSheetId="0">#REF!</definedName>
    <definedName name="а1" localSheetId="2">#REF!</definedName>
    <definedName name="а1" localSheetId="3">#REF!</definedName>
    <definedName name="а1" localSheetId="4">#REF!</definedName>
    <definedName name="а1" localSheetId="1">#REF!</definedName>
    <definedName name="а1">#REF!</definedName>
    <definedName name="Вып_ОФ_с_пц" localSheetId="0">[1]рабочий!$Y$202:$AP$224</definedName>
    <definedName name="Вып_ОФ_с_пц" localSheetId="2">[1]рабочий!$Y$202:$AP$224</definedName>
    <definedName name="Вып_ОФ_с_пц" localSheetId="3">[1]рабочий!$Y$202:$AP$224</definedName>
    <definedName name="Вып_ОФ_с_пц" localSheetId="4">[1]рабочий!$Y$202:$AP$224</definedName>
    <definedName name="Вып_ОФ_с_пц" localSheetId="1">[1]рабочий!$Y$202:$AP$224</definedName>
    <definedName name="Вып_ОФ_с_пц">[2]рабочий!$Y$202:$AP$224</definedName>
    <definedName name="Вып_с_новых_ОФ" localSheetId="0">[1]рабочий!$Y$277:$AP$299</definedName>
    <definedName name="Вып_с_новых_ОФ" localSheetId="2">[1]рабочий!$Y$277:$AP$299</definedName>
    <definedName name="Вып_с_новых_ОФ" localSheetId="3">[1]рабочий!$Y$277:$AP$299</definedName>
    <definedName name="Вып_с_новых_ОФ" localSheetId="4">[1]рабочий!$Y$277:$AP$299</definedName>
    <definedName name="Вып_с_новых_ОФ" localSheetId="1">[1]рабочий!$Y$277:$AP$299</definedName>
    <definedName name="Вып_с_новых_ОФ">[2]рабочий!$Y$277:$AP$299</definedName>
    <definedName name="График">"Диагр. 4"</definedName>
    <definedName name="Дефл_ц_пред_год" localSheetId="0">'[1]Текущие цены'!$AT$36:$BK$58</definedName>
    <definedName name="Дефл_ц_пред_год" localSheetId="2">'[1]Текущие цены'!$AT$36:$BK$58</definedName>
    <definedName name="Дефл_ц_пред_год" localSheetId="3">'[1]Текущие цены'!$AT$36:$BK$58</definedName>
    <definedName name="Дефл_ц_пред_год" localSheetId="4">'[1]Текущие цены'!$AT$36:$BK$58</definedName>
    <definedName name="Дефл_ц_пред_год" localSheetId="1">'[1]Текущие цены'!$AT$36:$BK$58</definedName>
    <definedName name="Дефл_ц_пред_год">'[2]Текущие цены'!$AT$36:$BK$58</definedName>
    <definedName name="Дефлятор_годовой" localSheetId="0">'[1]Текущие цены'!$Y$4:$AP$27</definedName>
    <definedName name="Дефлятор_годовой" localSheetId="2">'[1]Текущие цены'!$Y$4:$AP$27</definedName>
    <definedName name="Дефлятор_годовой" localSheetId="3">'[1]Текущие цены'!$Y$4:$AP$27</definedName>
    <definedName name="Дефлятор_годовой" localSheetId="4">'[1]Текущие цены'!$Y$4:$AP$27</definedName>
    <definedName name="Дефлятор_годовой" localSheetId="1">'[1]Текущие цены'!$Y$4:$AP$27</definedName>
    <definedName name="Дефлятор_годовой">'[2]Текущие цены'!$Y$4:$AP$27</definedName>
    <definedName name="Дефлятор_цепной" localSheetId="0">'[1]Текущие цены'!$Y$36:$AP$58</definedName>
    <definedName name="Дефлятор_цепной" localSheetId="2">'[1]Текущие цены'!$Y$36:$AP$58</definedName>
    <definedName name="Дефлятор_цепной" localSheetId="3">'[1]Текущие цены'!$Y$36:$AP$58</definedName>
    <definedName name="Дефлятор_цепной" localSheetId="4">'[1]Текущие цены'!$Y$36:$AP$58</definedName>
    <definedName name="Дефлятор_цепной" localSheetId="1">'[1]Текущие цены'!$Y$36:$AP$58</definedName>
    <definedName name="Дефлятор_цепной">'[2]Текущие цены'!$Y$36:$AP$58</definedName>
    <definedName name="_xlnm.Print_Titles" localSheetId="0">'Нулевое чтение'!$9:$11</definedName>
    <definedName name="_xlnm.Print_Titles" localSheetId="2">'Поправка №1'!$9:$11</definedName>
    <definedName name="_xlnm.Print_Titles" localSheetId="3">'Поправка №2'!$9:$11</definedName>
    <definedName name="_xlnm.Print_Titles" localSheetId="4">'Поправка №3'!$9:$11</definedName>
    <definedName name="_xlnm.Print_Titles" localSheetId="1">Утверждение!$9:$11</definedName>
    <definedName name="лист123" localSheetId="0">#REF!</definedName>
    <definedName name="лист123" localSheetId="2">#REF!</definedName>
    <definedName name="лист123" localSheetId="3">#REF!</definedName>
    <definedName name="лист123" localSheetId="4">#REF!</definedName>
    <definedName name="лист123" localSheetId="1">#REF!</definedName>
    <definedName name="лист123">#REF!</definedName>
    <definedName name="новые_ОФ_2003" localSheetId="0">[1]рабочий!$F$305:$W$327</definedName>
    <definedName name="новые_ОФ_2003" localSheetId="2">[1]рабочий!$F$305:$W$327</definedName>
    <definedName name="новые_ОФ_2003" localSheetId="3">[1]рабочий!$F$305:$W$327</definedName>
    <definedName name="новые_ОФ_2003" localSheetId="4">[1]рабочий!$F$305:$W$327</definedName>
    <definedName name="новые_ОФ_2003" localSheetId="1">[1]рабочий!$F$305:$W$327</definedName>
    <definedName name="новые_ОФ_2003">[2]рабочий!$F$305:$W$327</definedName>
    <definedName name="новые_ОФ_2004" localSheetId="0">[1]рабочий!$F$335:$W$357</definedName>
    <definedName name="новые_ОФ_2004" localSheetId="2">[1]рабочий!$F$335:$W$357</definedName>
    <definedName name="новые_ОФ_2004" localSheetId="3">[1]рабочий!$F$335:$W$357</definedName>
    <definedName name="новые_ОФ_2004" localSheetId="4">[1]рабочий!$F$335:$W$357</definedName>
    <definedName name="новые_ОФ_2004" localSheetId="1">[1]рабочий!$F$335:$W$357</definedName>
    <definedName name="новые_ОФ_2004">[2]рабочий!$F$335:$W$357</definedName>
    <definedName name="новые_ОФ_а_всего" localSheetId="0">[1]рабочий!$F$767:$V$789</definedName>
    <definedName name="новые_ОФ_а_всего" localSheetId="2">[1]рабочий!$F$767:$V$789</definedName>
    <definedName name="новые_ОФ_а_всего" localSheetId="3">[1]рабочий!$F$767:$V$789</definedName>
    <definedName name="новые_ОФ_а_всего" localSheetId="4">[1]рабочий!$F$767:$V$789</definedName>
    <definedName name="новые_ОФ_а_всего" localSheetId="1">[1]рабочий!$F$767:$V$789</definedName>
    <definedName name="новые_ОФ_а_всего">[2]рабочий!$F$767:$V$789</definedName>
    <definedName name="новые_ОФ_всего" localSheetId="0">[1]рабочий!$F$1331:$V$1353</definedName>
    <definedName name="новые_ОФ_всего" localSheetId="2">[1]рабочий!$F$1331:$V$1353</definedName>
    <definedName name="новые_ОФ_всего" localSheetId="3">[1]рабочий!$F$1331:$V$1353</definedName>
    <definedName name="новые_ОФ_всего" localSheetId="4">[1]рабочий!$F$1331:$V$1353</definedName>
    <definedName name="новые_ОФ_всего" localSheetId="1">[1]рабочий!$F$1331:$V$1353</definedName>
    <definedName name="новые_ОФ_всего">[2]рабочий!$F$1331:$V$1353</definedName>
    <definedName name="новые_ОФ_п_всего" localSheetId="0">[1]рабочий!$F$1293:$V$1315</definedName>
    <definedName name="новые_ОФ_п_всего" localSheetId="2">[1]рабочий!$F$1293:$V$1315</definedName>
    <definedName name="новые_ОФ_п_всего" localSheetId="3">[1]рабочий!$F$1293:$V$1315</definedName>
    <definedName name="новые_ОФ_п_всего" localSheetId="4">[1]рабочий!$F$1293:$V$1315</definedName>
    <definedName name="новые_ОФ_п_всего" localSheetId="1">[1]рабочий!$F$1293:$V$1315</definedName>
    <definedName name="новые_ОФ_п_всего">[2]рабочий!$F$1293:$V$1315</definedName>
    <definedName name="окраска_05" localSheetId="0">[1]окраска!$C$7:$Z$30</definedName>
    <definedName name="окраска_05" localSheetId="2">[1]окраска!$C$7:$Z$30</definedName>
    <definedName name="окраска_05" localSheetId="3">[1]окраска!$C$7:$Z$30</definedName>
    <definedName name="окраска_05" localSheetId="4">[1]окраска!$C$7:$Z$30</definedName>
    <definedName name="окраска_05" localSheetId="1">[1]окраска!$C$7:$Z$30</definedName>
    <definedName name="окраска_05">[2]окраска!$C$7:$Z$30</definedName>
    <definedName name="окраска_06" localSheetId="0">[1]окраска!$C$35:$Z$58</definedName>
    <definedName name="окраска_06" localSheetId="2">[1]окраска!$C$35:$Z$58</definedName>
    <definedName name="окраска_06" localSheetId="3">[1]окраска!$C$35:$Z$58</definedName>
    <definedName name="окраска_06" localSheetId="4">[1]окраска!$C$35:$Z$58</definedName>
    <definedName name="окраска_06" localSheetId="1">[1]окраска!$C$35:$Z$58</definedName>
    <definedName name="окраска_06">[2]окраска!$C$35:$Z$58</definedName>
    <definedName name="окраска_07" localSheetId="0">[1]окраска!$C$63:$Z$86</definedName>
    <definedName name="окраска_07" localSheetId="2">[1]окраска!$C$63:$Z$86</definedName>
    <definedName name="окраска_07" localSheetId="3">[1]окраска!$C$63:$Z$86</definedName>
    <definedName name="окраска_07" localSheetId="4">[1]окраска!$C$63:$Z$86</definedName>
    <definedName name="окраска_07" localSheetId="1">[1]окраска!$C$63:$Z$86</definedName>
    <definedName name="окраска_07">[2]окраска!$C$63:$Z$86</definedName>
    <definedName name="окраска_08" localSheetId="0">[1]окраска!$C$91:$Z$114</definedName>
    <definedName name="окраска_08" localSheetId="2">[1]окраска!$C$91:$Z$114</definedName>
    <definedName name="окраска_08" localSheetId="3">[1]окраска!$C$91:$Z$114</definedName>
    <definedName name="окраска_08" localSheetId="4">[1]окраска!$C$91:$Z$114</definedName>
    <definedName name="окраска_08" localSheetId="1">[1]окраска!$C$91:$Z$114</definedName>
    <definedName name="окраска_08">[2]окраска!$C$91:$Z$114</definedName>
    <definedName name="окраска_09" localSheetId="0">[1]окраска!$C$119:$Z$142</definedName>
    <definedName name="окраска_09" localSheetId="2">[1]окраска!$C$119:$Z$142</definedName>
    <definedName name="окраска_09" localSheetId="3">[1]окраска!$C$119:$Z$142</definedName>
    <definedName name="окраска_09" localSheetId="4">[1]окраска!$C$119:$Z$142</definedName>
    <definedName name="окраска_09" localSheetId="1">[1]окраска!$C$119:$Z$142</definedName>
    <definedName name="окраска_09">[2]окраска!$C$119:$Z$142</definedName>
    <definedName name="окраска_10" localSheetId="0">[1]окраска!$C$147:$Z$170</definedName>
    <definedName name="окраска_10" localSheetId="2">[1]окраска!$C$147:$Z$170</definedName>
    <definedName name="окраска_10" localSheetId="3">[1]окраска!$C$147:$Z$170</definedName>
    <definedName name="окраска_10" localSheetId="4">[1]окраска!$C$147:$Z$170</definedName>
    <definedName name="окраска_10" localSheetId="1">[1]окраска!$C$147:$Z$170</definedName>
    <definedName name="окраска_10">[2]окраска!$C$147:$Z$170</definedName>
    <definedName name="окраска_11" localSheetId="0">[1]окраска!$C$175:$Z$198</definedName>
    <definedName name="окраска_11" localSheetId="2">[1]окраска!$C$175:$Z$198</definedName>
    <definedName name="окраска_11" localSheetId="3">[1]окраска!$C$175:$Z$198</definedName>
    <definedName name="окраска_11" localSheetId="4">[1]окраска!$C$175:$Z$198</definedName>
    <definedName name="окраска_11" localSheetId="1">[1]окраска!$C$175:$Z$198</definedName>
    <definedName name="окраска_11">[2]окраска!$C$175:$Z$198</definedName>
    <definedName name="окраска_12" localSheetId="0">[1]окраска!$C$203:$Z$226</definedName>
    <definedName name="окраска_12" localSheetId="2">[1]окраска!$C$203:$Z$226</definedName>
    <definedName name="окраска_12" localSheetId="3">[1]окраска!$C$203:$Z$226</definedName>
    <definedName name="окраска_12" localSheetId="4">[1]окраска!$C$203:$Z$226</definedName>
    <definedName name="окраска_12" localSheetId="1">[1]окраска!$C$203:$Z$226</definedName>
    <definedName name="окраска_12">[2]окраска!$C$203:$Z$226</definedName>
    <definedName name="окраска_13" localSheetId="0">[1]окраска!$C$231:$Z$254</definedName>
    <definedName name="окраска_13" localSheetId="2">[1]окраска!$C$231:$Z$254</definedName>
    <definedName name="окраска_13" localSheetId="3">[1]окраска!$C$231:$Z$254</definedName>
    <definedName name="окраска_13" localSheetId="4">[1]окраска!$C$231:$Z$254</definedName>
    <definedName name="окраска_13" localSheetId="1">[1]окраска!$C$231:$Z$254</definedName>
    <definedName name="окраска_13">[2]окраска!$C$231:$Z$254</definedName>
    <definedName name="окраска_14" localSheetId="0">[1]окраска!$C$259:$Z$282</definedName>
    <definedName name="окраска_14" localSheetId="2">[1]окраска!$C$259:$Z$282</definedName>
    <definedName name="окраска_14" localSheetId="3">[1]окраска!$C$259:$Z$282</definedName>
    <definedName name="окраска_14" localSheetId="4">[1]окраска!$C$259:$Z$282</definedName>
    <definedName name="окраска_14" localSheetId="1">[1]окраска!$C$259:$Z$282</definedName>
    <definedName name="окраска_14">[2]окраска!$C$259:$Z$282</definedName>
    <definedName name="окраска_15" localSheetId="0">[1]окраска!$C$287:$Z$310</definedName>
    <definedName name="окраска_15" localSheetId="2">[1]окраска!$C$287:$Z$310</definedName>
    <definedName name="окраска_15" localSheetId="3">[1]окраска!$C$287:$Z$310</definedName>
    <definedName name="окраска_15" localSheetId="4">[1]окраска!$C$287:$Z$310</definedName>
    <definedName name="окраска_15" localSheetId="1">[1]окраска!$C$287:$Z$310</definedName>
    <definedName name="окраска_15">[2]окраска!$C$287:$Z$310</definedName>
    <definedName name="Отчёт_о_затратах_на_ликвидацию_по_техническим_работам__4_кв__1998__Ожидающие_сокращения_Таблица" localSheetId="3">#REF!</definedName>
    <definedName name="Отчёт_о_затратах_на_ликвидацию_по_техническим_работам__4_кв__1998__Ожидающие_сокращения_Таблица" localSheetId="4">#REF!</definedName>
    <definedName name="Отчёт_о_затратах_на_ликвидацию_по_техническим_работам__4_кв__1998__Ожидающие_сокращения_Таблица">#REF!</definedName>
    <definedName name="ОФ_а_с_пц" localSheetId="0">[1]рабочий!$CI$121:$CY$143</definedName>
    <definedName name="ОФ_а_с_пц" localSheetId="2">[1]рабочий!$CI$121:$CY$143</definedName>
    <definedName name="ОФ_а_с_пц" localSheetId="3">[1]рабочий!$CI$121:$CY$143</definedName>
    <definedName name="ОФ_а_с_пц" localSheetId="4">[1]рабочий!$CI$121:$CY$143</definedName>
    <definedName name="ОФ_а_с_пц" localSheetId="1">[1]рабочий!$CI$121:$CY$143</definedName>
    <definedName name="ОФ_а_с_пц">[2]рабочий!$CI$121:$CY$143</definedName>
    <definedName name="Прогноз_Вып_пц" localSheetId="0">[1]рабочий!$Y$240:$AP$262</definedName>
    <definedName name="Прогноз_Вып_пц" localSheetId="2">[1]рабочий!$Y$240:$AP$262</definedName>
    <definedName name="Прогноз_Вып_пц" localSheetId="3">[1]рабочий!$Y$240:$AP$262</definedName>
    <definedName name="Прогноз_Вып_пц" localSheetId="4">[1]рабочий!$Y$240:$AP$262</definedName>
    <definedName name="Прогноз_Вып_пц" localSheetId="1">[1]рабочий!$Y$240:$AP$262</definedName>
    <definedName name="Прогноз_Вып_пц">[2]рабочий!$Y$240:$AP$262</definedName>
    <definedName name="Список10">[3]Списки!$B$2:$B$9</definedName>
    <definedName name="Список11">[4]Списки!$C$2:$C$7</definedName>
    <definedName name="Список8">[3]Списки!$A$2:$A$8</definedName>
    <definedName name="фо_а_н_пц" localSheetId="0">[1]рабочий!$AR$240:$BI$263</definedName>
    <definedName name="фо_а_н_пц" localSheetId="2">[1]рабочий!$AR$240:$BI$263</definedName>
    <definedName name="фо_а_н_пц" localSheetId="3">[1]рабочий!$AR$240:$BI$263</definedName>
    <definedName name="фо_а_н_пц" localSheetId="4">[1]рабочий!$AR$240:$BI$263</definedName>
    <definedName name="фо_а_н_пц" localSheetId="1">[1]рабочий!$AR$240:$BI$263</definedName>
    <definedName name="фо_а_н_пц">[2]рабочий!$AR$240:$BI$263</definedName>
    <definedName name="фо_а_с_пц" localSheetId="0">[1]рабочий!$AS$202:$BI$224</definedName>
    <definedName name="фо_а_с_пц" localSheetId="2">[1]рабочий!$AS$202:$BI$224</definedName>
    <definedName name="фо_а_с_пц" localSheetId="3">[1]рабочий!$AS$202:$BI$224</definedName>
    <definedName name="фо_а_с_пц" localSheetId="4">[1]рабочий!$AS$202:$BI$224</definedName>
    <definedName name="фо_а_с_пц" localSheetId="1">[1]рабочий!$AS$202:$BI$224</definedName>
    <definedName name="фо_а_с_пц">[2]рабочий!$AS$202:$BI$224</definedName>
    <definedName name="фо_н_03" localSheetId="0">[1]рабочий!$X$305:$X$327</definedName>
    <definedName name="фо_н_03" localSheetId="2">[1]рабочий!$X$305:$X$327</definedName>
    <definedName name="фо_н_03" localSheetId="3">[1]рабочий!$X$305:$X$327</definedName>
    <definedName name="фо_н_03" localSheetId="4">[1]рабочий!$X$305:$X$327</definedName>
    <definedName name="фо_н_03" localSheetId="1">[1]рабочий!$X$305:$X$327</definedName>
    <definedName name="фо_н_03">[2]рабочий!$X$305:$X$327</definedName>
    <definedName name="фо_н_04" localSheetId="0">[1]рабочий!$X$335:$X$357</definedName>
    <definedName name="фо_н_04" localSheetId="2">[1]рабочий!$X$335:$X$357</definedName>
    <definedName name="фо_н_04" localSheetId="3">[1]рабочий!$X$335:$X$357</definedName>
    <definedName name="фо_н_04" localSheetId="4">[1]рабочий!$X$335:$X$357</definedName>
    <definedName name="фо_н_04" localSheetId="1">[1]рабочий!$X$335:$X$357</definedName>
    <definedName name="фо_н_04">[2]рабочий!$X$335:$X$357</definedName>
    <definedName name="я" localSheetId="0">#REF!</definedName>
    <definedName name="я" localSheetId="2">#REF!</definedName>
    <definedName name="я" localSheetId="3">#REF!</definedName>
    <definedName name="я" localSheetId="4">#REF!</definedName>
    <definedName name="я" localSheetId="1">#REF!</definedName>
    <definedName name="я">#REF!</definedName>
  </definedNames>
  <calcPr calcId="144525"/>
</workbook>
</file>

<file path=xl/calcChain.xml><?xml version="1.0" encoding="utf-8"?>
<calcChain xmlns="http://schemas.openxmlformats.org/spreadsheetml/2006/main">
  <c r="E40" i="50" l="1"/>
  <c r="D143" i="50" l="1"/>
  <c r="D190" i="50"/>
  <c r="E84" i="50" l="1"/>
  <c r="D204" i="50" l="1"/>
  <c r="D189" i="50"/>
  <c r="I187" i="50"/>
  <c r="H187" i="50"/>
  <c r="G187" i="50"/>
  <c r="F187" i="50"/>
  <c r="E187" i="50"/>
  <c r="D187" i="50"/>
  <c r="I181" i="50"/>
  <c r="H181" i="50"/>
  <c r="G181" i="50"/>
  <c r="F181" i="50"/>
  <c r="E181" i="50"/>
  <c r="D181" i="50"/>
  <c r="I177" i="50"/>
  <c r="H177" i="50"/>
  <c r="G177" i="50"/>
  <c r="F177" i="50"/>
  <c r="E177" i="50"/>
  <c r="D177" i="50"/>
  <c r="I172" i="50"/>
  <c r="H172" i="50"/>
  <c r="G172" i="50"/>
  <c r="F172" i="50"/>
  <c r="E172" i="50"/>
  <c r="D172" i="50"/>
  <c r="I168" i="50"/>
  <c r="H168" i="50"/>
  <c r="G168" i="50"/>
  <c r="F168" i="50"/>
  <c r="E168" i="50"/>
  <c r="D168" i="50"/>
  <c r="D162" i="50"/>
  <c r="I160" i="50"/>
  <c r="H160" i="50"/>
  <c r="G160" i="50"/>
  <c r="F160" i="50"/>
  <c r="E160" i="50"/>
  <c r="D160" i="50"/>
  <c r="I153" i="50"/>
  <c r="H153" i="50"/>
  <c r="G153" i="50"/>
  <c r="F153" i="50"/>
  <c r="E153" i="50"/>
  <c r="D153" i="50"/>
  <c r="I149" i="50"/>
  <c r="H149" i="50"/>
  <c r="G149" i="50"/>
  <c r="F149" i="50"/>
  <c r="E149" i="50"/>
  <c r="D149" i="50"/>
  <c r="E143" i="50"/>
  <c r="D139" i="50"/>
  <c r="I138" i="50"/>
  <c r="H138" i="50"/>
  <c r="G138" i="50"/>
  <c r="F138" i="50"/>
  <c r="E138" i="50"/>
  <c r="D138" i="50"/>
  <c r="I133" i="50"/>
  <c r="H133" i="50"/>
  <c r="G133" i="50"/>
  <c r="E133" i="50"/>
  <c r="D133" i="50"/>
  <c r="I129" i="50"/>
  <c r="H129" i="50"/>
  <c r="G129" i="50"/>
  <c r="F129" i="50"/>
  <c r="E129" i="50"/>
  <c r="D129" i="50"/>
  <c r="I123" i="50"/>
  <c r="H123" i="50"/>
  <c r="G123" i="50"/>
  <c r="F123" i="50"/>
  <c r="E123" i="50"/>
  <c r="D123" i="50"/>
  <c r="D117" i="50"/>
  <c r="I116" i="50"/>
  <c r="H116" i="50"/>
  <c r="G116" i="50"/>
  <c r="F116" i="50"/>
  <c r="E116" i="50"/>
  <c r="D116" i="50"/>
  <c r="M109" i="50"/>
  <c r="N109" i="50" s="1"/>
  <c r="H109" i="50"/>
  <c r="H108" i="50" s="1"/>
  <c r="F109" i="50"/>
  <c r="D109" i="50"/>
  <c r="K109" i="50" s="1"/>
  <c r="L109" i="50" s="1"/>
  <c r="I108" i="50"/>
  <c r="G108" i="50"/>
  <c r="F108" i="50"/>
  <c r="E108" i="50"/>
  <c r="I104" i="50"/>
  <c r="H104" i="50"/>
  <c r="G104" i="50"/>
  <c r="F104" i="50"/>
  <c r="E104" i="50"/>
  <c r="D104" i="50"/>
  <c r="P100" i="50"/>
  <c r="O100" i="50"/>
  <c r="M100" i="50"/>
  <c r="N100" i="50" s="1"/>
  <c r="K100" i="50"/>
  <c r="L100" i="50" s="1"/>
  <c r="P99" i="50"/>
  <c r="O99" i="50"/>
  <c r="M99" i="50"/>
  <c r="N99" i="50" s="1"/>
  <c r="K99" i="50"/>
  <c r="L99" i="50" s="1"/>
  <c r="O98" i="50"/>
  <c r="P98" i="50" s="1"/>
  <c r="M98" i="50"/>
  <c r="N98" i="50" s="1"/>
  <c r="D98" i="50"/>
  <c r="P97" i="50"/>
  <c r="O97" i="50"/>
  <c r="F97" i="50"/>
  <c r="M97" i="50" s="1"/>
  <c r="N97" i="50" s="1"/>
  <c r="D97" i="50"/>
  <c r="K97" i="50" s="1"/>
  <c r="L97" i="50" s="1"/>
  <c r="O96" i="50"/>
  <c r="P96" i="50" s="1"/>
  <c r="M96" i="50"/>
  <c r="N96" i="50" s="1"/>
  <c r="K96" i="50"/>
  <c r="L96" i="50" s="1"/>
  <c r="O95" i="50"/>
  <c r="P95" i="50" s="1"/>
  <c r="M95" i="50"/>
  <c r="N95" i="50" s="1"/>
  <c r="K95" i="50"/>
  <c r="L95" i="50" s="1"/>
  <c r="O94" i="50"/>
  <c r="P94" i="50" s="1"/>
  <c r="M94" i="50"/>
  <c r="N94" i="50" s="1"/>
  <c r="K94" i="50"/>
  <c r="L94" i="50" s="1"/>
  <c r="I93" i="50"/>
  <c r="H93" i="50"/>
  <c r="G93" i="50"/>
  <c r="E93" i="50"/>
  <c r="G85" i="50"/>
  <c r="O82" i="50"/>
  <c r="P82" i="50" s="1"/>
  <c r="M82" i="50"/>
  <c r="N82" i="50" s="1"/>
  <c r="K82" i="50"/>
  <c r="E82" i="50"/>
  <c r="O81" i="50"/>
  <c r="P81" i="50" s="1"/>
  <c r="M81" i="50"/>
  <c r="N81" i="50" s="1"/>
  <c r="K81" i="50"/>
  <c r="E81" i="50"/>
  <c r="O80" i="50"/>
  <c r="P80" i="50" s="1"/>
  <c r="M80" i="50"/>
  <c r="N80" i="50" s="1"/>
  <c r="D80" i="50"/>
  <c r="K80" i="50" s="1"/>
  <c r="L80" i="50" s="1"/>
  <c r="O79" i="50"/>
  <c r="P79" i="50" s="1"/>
  <c r="M79" i="50"/>
  <c r="N79" i="50" s="1"/>
  <c r="K79" i="50"/>
  <c r="L79" i="50" s="1"/>
  <c r="O78" i="50"/>
  <c r="P78" i="50" s="1"/>
  <c r="M78" i="50"/>
  <c r="N78" i="50" s="1"/>
  <c r="K78" i="50"/>
  <c r="L78" i="50" s="1"/>
  <c r="D78" i="50"/>
  <c r="P77" i="50"/>
  <c r="O77" i="50"/>
  <c r="M77" i="50"/>
  <c r="N77" i="50" s="1"/>
  <c r="K77" i="50"/>
  <c r="L77" i="50" s="1"/>
  <c r="M76" i="50"/>
  <c r="N76" i="50" s="1"/>
  <c r="K76" i="50"/>
  <c r="L76" i="50" s="1"/>
  <c r="H76" i="50"/>
  <c r="O76" i="50" s="1"/>
  <c r="P76" i="50" s="1"/>
  <c r="M75" i="50"/>
  <c r="N75" i="50" s="1"/>
  <c r="K75" i="50"/>
  <c r="L75" i="50" s="1"/>
  <c r="H75" i="50"/>
  <c r="O75" i="50" s="1"/>
  <c r="P75" i="50" s="1"/>
  <c r="M74" i="50"/>
  <c r="N74" i="50" s="1"/>
  <c r="K74" i="50"/>
  <c r="L74" i="50" s="1"/>
  <c r="H74" i="50"/>
  <c r="O74" i="50" s="1"/>
  <c r="P74" i="50" s="1"/>
  <c r="O73" i="50"/>
  <c r="P73" i="50" s="1"/>
  <c r="M73" i="50"/>
  <c r="N73" i="50" s="1"/>
  <c r="K73" i="50"/>
  <c r="L73" i="50" s="1"/>
  <c r="H73" i="50"/>
  <c r="M72" i="50"/>
  <c r="N72" i="50" s="1"/>
  <c r="K72" i="50"/>
  <c r="L72" i="50" s="1"/>
  <c r="H72" i="50"/>
  <c r="O72" i="50" s="1"/>
  <c r="P72" i="50" s="1"/>
  <c r="M71" i="50"/>
  <c r="N71" i="50" s="1"/>
  <c r="K71" i="50"/>
  <c r="L71" i="50" s="1"/>
  <c r="H71" i="50"/>
  <c r="O71" i="50" s="1"/>
  <c r="P71" i="50" s="1"/>
  <c r="M70" i="50"/>
  <c r="N70" i="50" s="1"/>
  <c r="K70" i="50"/>
  <c r="L70" i="50" s="1"/>
  <c r="H70" i="50"/>
  <c r="O70" i="50" s="1"/>
  <c r="P70" i="50" s="1"/>
  <c r="M69" i="50"/>
  <c r="N69" i="50" s="1"/>
  <c r="K69" i="50"/>
  <c r="L69" i="50" s="1"/>
  <c r="H69" i="50"/>
  <c r="O69" i="50" s="1"/>
  <c r="P69" i="50" s="1"/>
  <c r="M68" i="50"/>
  <c r="N68" i="50" s="1"/>
  <c r="K68" i="50"/>
  <c r="L68" i="50" s="1"/>
  <c r="H68" i="50"/>
  <c r="O68" i="50" s="1"/>
  <c r="P68" i="50" s="1"/>
  <c r="O67" i="50"/>
  <c r="M67" i="50"/>
  <c r="N67" i="50" s="1"/>
  <c r="K67" i="50"/>
  <c r="L67" i="50" s="1"/>
  <c r="I67" i="50"/>
  <c r="H67" i="50"/>
  <c r="M66" i="50"/>
  <c r="N66" i="50" s="1"/>
  <c r="K66" i="50"/>
  <c r="L66" i="50" s="1"/>
  <c r="H66" i="50"/>
  <c r="O66" i="50" s="1"/>
  <c r="P66" i="50" s="1"/>
  <c r="M65" i="50"/>
  <c r="N65" i="50" s="1"/>
  <c r="K65" i="50"/>
  <c r="L65" i="50" s="1"/>
  <c r="I65" i="50"/>
  <c r="H65" i="50"/>
  <c r="O65" i="50" s="1"/>
  <c r="M64" i="50"/>
  <c r="N64" i="50" s="1"/>
  <c r="L64" i="50"/>
  <c r="K64" i="50"/>
  <c r="H64" i="50"/>
  <c r="O64" i="50" s="1"/>
  <c r="P64" i="50" s="1"/>
  <c r="O63" i="50"/>
  <c r="P63" i="50" s="1"/>
  <c r="M63" i="50"/>
  <c r="N63" i="50" s="1"/>
  <c r="K63" i="50"/>
  <c r="L63" i="50" s="1"/>
  <c r="H63" i="50"/>
  <c r="M62" i="50"/>
  <c r="N62" i="50" s="1"/>
  <c r="K62" i="50"/>
  <c r="L62" i="50" s="1"/>
  <c r="H62" i="50"/>
  <c r="O62" i="50" s="1"/>
  <c r="P62" i="50" s="1"/>
  <c r="M61" i="50"/>
  <c r="N61" i="50" s="1"/>
  <c r="K61" i="50"/>
  <c r="L61" i="50" s="1"/>
  <c r="H61" i="50"/>
  <c r="O61" i="50" s="1"/>
  <c r="P61" i="50" s="1"/>
  <c r="M60" i="50"/>
  <c r="N60" i="50" s="1"/>
  <c r="K60" i="50"/>
  <c r="L60" i="50" s="1"/>
  <c r="H60" i="50"/>
  <c r="O60" i="50" s="1"/>
  <c r="P60" i="50" s="1"/>
  <c r="M59" i="50"/>
  <c r="N59" i="50" s="1"/>
  <c r="K59" i="50"/>
  <c r="L59" i="50" s="1"/>
  <c r="H59" i="50"/>
  <c r="O59" i="50" s="1"/>
  <c r="P59" i="50" s="1"/>
  <c r="M58" i="50"/>
  <c r="N58" i="50" s="1"/>
  <c r="K58" i="50"/>
  <c r="L58" i="50" s="1"/>
  <c r="H58" i="50"/>
  <c r="O58" i="50" s="1"/>
  <c r="P58" i="50" s="1"/>
  <c r="M57" i="50"/>
  <c r="N57" i="50" s="1"/>
  <c r="K57" i="50"/>
  <c r="L57" i="50" s="1"/>
  <c r="H57" i="50"/>
  <c r="O57" i="50" s="1"/>
  <c r="P57" i="50" s="1"/>
  <c r="M56" i="50"/>
  <c r="N56" i="50" s="1"/>
  <c r="K56" i="50"/>
  <c r="L56" i="50" s="1"/>
  <c r="H56" i="50"/>
  <c r="O56" i="50" s="1"/>
  <c r="P56" i="50" s="1"/>
  <c r="O55" i="50"/>
  <c r="P55" i="50" s="1"/>
  <c r="M55" i="50"/>
  <c r="N55" i="50" s="1"/>
  <c r="K55" i="50"/>
  <c r="L55" i="50" s="1"/>
  <c r="O54" i="50"/>
  <c r="P54" i="50" s="1"/>
  <c r="M54" i="50"/>
  <c r="N54" i="50" s="1"/>
  <c r="K54" i="50"/>
  <c r="L54" i="50" s="1"/>
  <c r="O53" i="50"/>
  <c r="P53" i="50" s="1"/>
  <c r="M53" i="50"/>
  <c r="N53" i="50" s="1"/>
  <c r="K53" i="50"/>
  <c r="L53" i="50" s="1"/>
  <c r="O52" i="50"/>
  <c r="P52" i="50" s="1"/>
  <c r="N52" i="50"/>
  <c r="M52" i="50"/>
  <c r="K52" i="50"/>
  <c r="L52" i="50" s="1"/>
  <c r="O51" i="50"/>
  <c r="P51" i="50" s="1"/>
  <c r="M51" i="50"/>
  <c r="N51" i="50" s="1"/>
  <c r="K51" i="50"/>
  <c r="L51" i="50" s="1"/>
  <c r="O50" i="50"/>
  <c r="P50" i="50" s="1"/>
  <c r="M50" i="50"/>
  <c r="N50" i="50" s="1"/>
  <c r="K50" i="50"/>
  <c r="L50" i="50" s="1"/>
  <c r="O49" i="50"/>
  <c r="P49" i="50" s="1"/>
  <c r="M49" i="50"/>
  <c r="N49" i="50" s="1"/>
  <c r="D49" i="50"/>
  <c r="K49" i="50" s="1"/>
  <c r="L49" i="50" s="1"/>
  <c r="O48" i="50"/>
  <c r="M48" i="50"/>
  <c r="N48" i="50" s="1"/>
  <c r="I48" i="50"/>
  <c r="P48" i="50" s="1"/>
  <c r="E48" i="50"/>
  <c r="D48" i="50"/>
  <c r="K48" i="50" s="1"/>
  <c r="O47" i="50"/>
  <c r="P47" i="50" s="1"/>
  <c r="M47" i="50"/>
  <c r="N47" i="50" s="1"/>
  <c r="E47" i="50"/>
  <c r="E43" i="50" s="1"/>
  <c r="D47" i="50"/>
  <c r="O46" i="50"/>
  <c r="P46" i="50" s="1"/>
  <c r="M46" i="50"/>
  <c r="N46" i="50" s="1"/>
  <c r="K46" i="50"/>
  <c r="L46" i="50" s="1"/>
  <c r="D46" i="50"/>
  <c r="H45" i="50"/>
  <c r="O45" i="50" s="1"/>
  <c r="P45" i="50" s="1"/>
  <c r="F45" i="50"/>
  <c r="M45" i="50" s="1"/>
  <c r="N45" i="50" s="1"/>
  <c r="D45" i="50"/>
  <c r="K45" i="50" s="1"/>
  <c r="L45" i="50" s="1"/>
  <c r="H44" i="50"/>
  <c r="O44" i="50" s="1"/>
  <c r="P44" i="50" s="1"/>
  <c r="F44" i="50"/>
  <c r="M44" i="50" s="1"/>
  <c r="N44" i="50" s="1"/>
  <c r="D44" i="50"/>
  <c r="K44" i="50" s="1"/>
  <c r="L44" i="50" s="1"/>
  <c r="I43" i="50"/>
  <c r="G43" i="50"/>
  <c r="O34" i="50"/>
  <c r="P34" i="50" s="1"/>
  <c r="M34" i="50"/>
  <c r="N34" i="50" s="1"/>
  <c r="K34" i="50"/>
  <c r="E34" i="50"/>
  <c r="O33" i="50"/>
  <c r="P33" i="50" s="1"/>
  <c r="M33" i="50"/>
  <c r="N33" i="50" s="1"/>
  <c r="K33" i="50"/>
  <c r="E33" i="50"/>
  <c r="O30" i="50"/>
  <c r="M30" i="50"/>
  <c r="N30" i="50" s="1"/>
  <c r="K30" i="50"/>
  <c r="L30" i="50" s="1"/>
  <c r="I30" i="50"/>
  <c r="O29" i="50"/>
  <c r="P29" i="50" s="1"/>
  <c r="M29" i="50"/>
  <c r="K29" i="50"/>
  <c r="L29" i="50" s="1"/>
  <c r="G29" i="50"/>
  <c r="N29" i="50" s="1"/>
  <c r="O28" i="50"/>
  <c r="P28" i="50" s="1"/>
  <c r="M28" i="50"/>
  <c r="N28" i="50" s="1"/>
  <c r="K28" i="50"/>
  <c r="L28" i="50" s="1"/>
  <c r="O27" i="50"/>
  <c r="P27" i="50" s="1"/>
  <c r="M27" i="50"/>
  <c r="N27" i="50" s="1"/>
  <c r="K27" i="50"/>
  <c r="L27" i="50" s="1"/>
  <c r="O25" i="50"/>
  <c r="P25" i="50" s="1"/>
  <c r="M25" i="50"/>
  <c r="N25" i="50" s="1"/>
  <c r="K25" i="50"/>
  <c r="L25" i="50" s="1"/>
  <c r="O24" i="50"/>
  <c r="P24" i="50" s="1"/>
  <c r="M24" i="50"/>
  <c r="N24" i="50" s="1"/>
  <c r="K24" i="50"/>
  <c r="E24" i="50"/>
  <c r="O23" i="50"/>
  <c r="P23" i="50" s="1"/>
  <c r="M23" i="50"/>
  <c r="N23" i="50" s="1"/>
  <c r="K23" i="50"/>
  <c r="E23" i="50"/>
  <c r="L23" i="50" s="1"/>
  <c r="O22" i="50"/>
  <c r="P22" i="50" s="1"/>
  <c r="M22" i="50"/>
  <c r="N22" i="50" s="1"/>
  <c r="K22" i="50"/>
  <c r="L22" i="50" s="1"/>
  <c r="O21" i="50"/>
  <c r="P21" i="50" s="1"/>
  <c r="M21" i="50"/>
  <c r="N21" i="50" s="1"/>
  <c r="K21" i="50"/>
  <c r="L21" i="50" s="1"/>
  <c r="H20" i="50"/>
  <c r="O20" i="50" s="1"/>
  <c r="P20" i="50" s="1"/>
  <c r="F20" i="50"/>
  <c r="M20" i="50" s="1"/>
  <c r="N20" i="50" s="1"/>
  <c r="D20" i="50"/>
  <c r="K20" i="50" s="1"/>
  <c r="L20" i="50" s="1"/>
  <c r="I19" i="50"/>
  <c r="I18" i="50" s="1"/>
  <c r="H19" i="50"/>
  <c r="O19" i="50" s="1"/>
  <c r="G19" i="50"/>
  <c r="F19" i="50"/>
  <c r="M19" i="50" s="1"/>
  <c r="D19" i="50"/>
  <c r="K19" i="50" s="1"/>
  <c r="L19" i="50" s="1"/>
  <c r="G18" i="50"/>
  <c r="F18" i="50"/>
  <c r="H15" i="50"/>
  <c r="O15" i="50" s="1"/>
  <c r="P15" i="50" s="1"/>
  <c r="F15" i="50"/>
  <c r="F14" i="50" s="1"/>
  <c r="D15" i="50"/>
  <c r="D14" i="50" s="1"/>
  <c r="I14" i="50"/>
  <c r="G14" i="50"/>
  <c r="E14" i="50"/>
  <c r="D193" i="50" l="1"/>
  <c r="D43" i="50"/>
  <c r="L34" i="50"/>
  <c r="G114" i="50"/>
  <c r="M15" i="50"/>
  <c r="N15" i="50" s="1"/>
  <c r="P67" i="50"/>
  <c r="F93" i="50"/>
  <c r="E193" i="50"/>
  <c r="F193" i="50"/>
  <c r="H14" i="50"/>
  <c r="D18" i="50"/>
  <c r="D114" i="50" s="1"/>
  <c r="E18" i="50"/>
  <c r="E114" i="50" s="1"/>
  <c r="E195" i="50" s="1"/>
  <c r="P30" i="50"/>
  <c r="L48" i="50"/>
  <c r="D93" i="50"/>
  <c r="D108" i="50"/>
  <c r="G193" i="50"/>
  <c r="H193" i="50"/>
  <c r="I114" i="50"/>
  <c r="I195" i="50" s="1"/>
  <c r="I193" i="50"/>
  <c r="P19" i="50"/>
  <c r="L33" i="50"/>
  <c r="L82" i="50"/>
  <c r="L81" i="50"/>
  <c r="P65" i="50"/>
  <c r="N19" i="50"/>
  <c r="H18" i="50"/>
  <c r="F43" i="50"/>
  <c r="F114" i="50" s="1"/>
  <c r="F195" i="50" s="1"/>
  <c r="F205" i="50" s="1"/>
  <c r="K98" i="50"/>
  <c r="L98" i="50" s="1"/>
  <c r="L24" i="50"/>
  <c r="K47" i="50"/>
  <c r="L47" i="50" s="1"/>
  <c r="O109" i="50"/>
  <c r="P109" i="50" s="1"/>
  <c r="K15" i="50"/>
  <c r="L15" i="50" s="1"/>
  <c r="H43" i="50"/>
  <c r="E46" i="49"/>
  <c r="D46" i="49"/>
  <c r="D138" i="49"/>
  <c r="D188" i="49"/>
  <c r="D195" i="50" l="1"/>
  <c r="D205" i="50" s="1"/>
  <c r="G195" i="50"/>
  <c r="H114" i="50"/>
  <c r="H195" i="50" s="1"/>
  <c r="H205" i="50" s="1"/>
  <c r="D97" i="49"/>
  <c r="D203" i="49" l="1"/>
  <c r="I186" i="49"/>
  <c r="H186" i="49"/>
  <c r="G186" i="49"/>
  <c r="F186" i="49"/>
  <c r="E186" i="49"/>
  <c r="D186" i="49"/>
  <c r="I180" i="49"/>
  <c r="H180" i="49"/>
  <c r="G180" i="49"/>
  <c r="F180" i="49"/>
  <c r="E180" i="49"/>
  <c r="D180" i="49"/>
  <c r="I176" i="49"/>
  <c r="H176" i="49"/>
  <c r="G176" i="49"/>
  <c r="F176" i="49"/>
  <c r="E176" i="49"/>
  <c r="D176" i="49"/>
  <c r="I171" i="49"/>
  <c r="H171" i="49"/>
  <c r="G171" i="49"/>
  <c r="F171" i="49"/>
  <c r="E171" i="49"/>
  <c r="D171" i="49"/>
  <c r="I167" i="49"/>
  <c r="H167" i="49"/>
  <c r="G167" i="49"/>
  <c r="F167" i="49"/>
  <c r="E167" i="49"/>
  <c r="D167" i="49"/>
  <c r="D161" i="49"/>
  <c r="D159" i="49" s="1"/>
  <c r="I159" i="49"/>
  <c r="H159" i="49"/>
  <c r="G159" i="49"/>
  <c r="F159" i="49"/>
  <c r="E159" i="49"/>
  <c r="I152" i="49"/>
  <c r="H152" i="49"/>
  <c r="G152" i="49"/>
  <c r="F152" i="49"/>
  <c r="E152" i="49"/>
  <c r="D152" i="49"/>
  <c r="I148" i="49"/>
  <c r="H148" i="49"/>
  <c r="G148" i="49"/>
  <c r="F148" i="49"/>
  <c r="E148" i="49"/>
  <c r="D148" i="49"/>
  <c r="E142" i="49"/>
  <c r="E137" i="49" s="1"/>
  <c r="I137" i="49"/>
  <c r="H137" i="49"/>
  <c r="G137" i="49"/>
  <c r="F137" i="49"/>
  <c r="D137" i="49"/>
  <c r="I132" i="49"/>
  <c r="H132" i="49"/>
  <c r="G132" i="49"/>
  <c r="E132" i="49"/>
  <c r="D132" i="49"/>
  <c r="I128" i="49"/>
  <c r="H128" i="49"/>
  <c r="G128" i="49"/>
  <c r="F128" i="49"/>
  <c r="E128" i="49"/>
  <c r="D128" i="49"/>
  <c r="I122" i="49"/>
  <c r="H122" i="49"/>
  <c r="G122" i="49"/>
  <c r="F122" i="49"/>
  <c r="E122" i="49"/>
  <c r="D122" i="49"/>
  <c r="D116" i="49"/>
  <c r="D115" i="49" s="1"/>
  <c r="I115" i="49"/>
  <c r="H115" i="49"/>
  <c r="G115" i="49"/>
  <c r="F115" i="49"/>
  <c r="E115" i="49"/>
  <c r="M108" i="49"/>
  <c r="N108" i="49" s="1"/>
  <c r="K108" i="49"/>
  <c r="L108" i="49" s="1"/>
  <c r="H108" i="49"/>
  <c r="O108" i="49" s="1"/>
  <c r="P108" i="49" s="1"/>
  <c r="F108" i="49"/>
  <c r="F107" i="49" s="1"/>
  <c r="D108" i="49"/>
  <c r="D107" i="49" s="1"/>
  <c r="I107" i="49"/>
  <c r="G107" i="49"/>
  <c r="E107" i="49"/>
  <c r="I103" i="49"/>
  <c r="H103" i="49"/>
  <c r="G103" i="49"/>
  <c r="F103" i="49"/>
  <c r="E103" i="49"/>
  <c r="D103" i="49"/>
  <c r="O99" i="49"/>
  <c r="P99" i="49" s="1"/>
  <c r="M99" i="49"/>
  <c r="N99" i="49" s="1"/>
  <c r="K99" i="49"/>
  <c r="L99" i="49" s="1"/>
  <c r="O98" i="49"/>
  <c r="P98" i="49" s="1"/>
  <c r="M98" i="49"/>
  <c r="N98" i="49" s="1"/>
  <c r="K98" i="49"/>
  <c r="L98" i="49" s="1"/>
  <c r="O97" i="49"/>
  <c r="P97" i="49" s="1"/>
  <c r="M97" i="49"/>
  <c r="N97" i="49" s="1"/>
  <c r="K97" i="49"/>
  <c r="L97" i="49" s="1"/>
  <c r="O96" i="49"/>
  <c r="P96" i="49" s="1"/>
  <c r="F96" i="49"/>
  <c r="M96" i="49" s="1"/>
  <c r="N96" i="49" s="1"/>
  <c r="D96" i="49"/>
  <c r="K96" i="49" s="1"/>
  <c r="L96" i="49" s="1"/>
  <c r="O95" i="49"/>
  <c r="P95" i="49" s="1"/>
  <c r="M95" i="49"/>
  <c r="N95" i="49" s="1"/>
  <c r="K95" i="49"/>
  <c r="L95" i="49" s="1"/>
  <c r="O94" i="49"/>
  <c r="P94" i="49" s="1"/>
  <c r="M94" i="49"/>
  <c r="N94" i="49" s="1"/>
  <c r="K94" i="49"/>
  <c r="L94" i="49" s="1"/>
  <c r="O93" i="49"/>
  <c r="P93" i="49" s="1"/>
  <c r="M93" i="49"/>
  <c r="N93" i="49" s="1"/>
  <c r="K93" i="49"/>
  <c r="L93" i="49" s="1"/>
  <c r="I92" i="49"/>
  <c r="H92" i="49"/>
  <c r="G92" i="49"/>
  <c r="E92" i="49"/>
  <c r="G84" i="49"/>
  <c r="G42" i="49" s="1"/>
  <c r="O81" i="49"/>
  <c r="P81" i="49" s="1"/>
  <c r="M81" i="49"/>
  <c r="N81" i="49" s="1"/>
  <c r="K81" i="49"/>
  <c r="E81" i="49"/>
  <c r="O80" i="49"/>
  <c r="P80" i="49" s="1"/>
  <c r="M80" i="49"/>
  <c r="N80" i="49" s="1"/>
  <c r="K80" i="49"/>
  <c r="E80" i="49"/>
  <c r="O79" i="49"/>
  <c r="P79" i="49" s="1"/>
  <c r="M79" i="49"/>
  <c r="N79" i="49" s="1"/>
  <c r="D79" i="49"/>
  <c r="K79" i="49" s="1"/>
  <c r="L79" i="49" s="1"/>
  <c r="O78" i="49"/>
  <c r="P78" i="49" s="1"/>
  <c r="M78" i="49"/>
  <c r="N78" i="49" s="1"/>
  <c r="K78" i="49"/>
  <c r="L78" i="49" s="1"/>
  <c r="O77" i="49"/>
  <c r="P77" i="49" s="1"/>
  <c r="M77" i="49"/>
  <c r="N77" i="49" s="1"/>
  <c r="D77" i="49"/>
  <c r="K77" i="49" s="1"/>
  <c r="L77" i="49" s="1"/>
  <c r="O76" i="49"/>
  <c r="P76" i="49" s="1"/>
  <c r="M76" i="49"/>
  <c r="N76" i="49" s="1"/>
  <c r="K76" i="49"/>
  <c r="L76" i="49" s="1"/>
  <c r="M75" i="49"/>
  <c r="N75" i="49" s="1"/>
  <c r="K75" i="49"/>
  <c r="L75" i="49" s="1"/>
  <c r="H75" i="49"/>
  <c r="O75" i="49" s="1"/>
  <c r="P75" i="49" s="1"/>
  <c r="M74" i="49"/>
  <c r="N74" i="49" s="1"/>
  <c r="K74" i="49"/>
  <c r="L74" i="49" s="1"/>
  <c r="H74" i="49"/>
  <c r="O74" i="49" s="1"/>
  <c r="P74" i="49" s="1"/>
  <c r="M73" i="49"/>
  <c r="N73" i="49" s="1"/>
  <c r="K73" i="49"/>
  <c r="L73" i="49" s="1"/>
  <c r="H73" i="49"/>
  <c r="O73" i="49" s="1"/>
  <c r="P73" i="49" s="1"/>
  <c r="M72" i="49"/>
  <c r="N72" i="49" s="1"/>
  <c r="K72" i="49"/>
  <c r="L72" i="49" s="1"/>
  <c r="H72" i="49"/>
  <c r="O72" i="49" s="1"/>
  <c r="P72" i="49" s="1"/>
  <c r="M71" i="49"/>
  <c r="N71" i="49" s="1"/>
  <c r="K71" i="49"/>
  <c r="L71" i="49" s="1"/>
  <c r="H71" i="49"/>
  <c r="O71" i="49" s="1"/>
  <c r="P71" i="49" s="1"/>
  <c r="M70" i="49"/>
  <c r="N70" i="49" s="1"/>
  <c r="K70" i="49"/>
  <c r="L70" i="49" s="1"/>
  <c r="H70" i="49"/>
  <c r="O70" i="49" s="1"/>
  <c r="P70" i="49" s="1"/>
  <c r="M69" i="49"/>
  <c r="N69" i="49" s="1"/>
  <c r="K69" i="49"/>
  <c r="L69" i="49" s="1"/>
  <c r="H69" i="49"/>
  <c r="O69" i="49" s="1"/>
  <c r="P69" i="49" s="1"/>
  <c r="M68" i="49"/>
  <c r="N68" i="49" s="1"/>
  <c r="K68" i="49"/>
  <c r="L68" i="49" s="1"/>
  <c r="H68" i="49"/>
  <c r="O68" i="49" s="1"/>
  <c r="P68" i="49" s="1"/>
  <c r="M67" i="49"/>
  <c r="N67" i="49" s="1"/>
  <c r="K67" i="49"/>
  <c r="L67" i="49" s="1"/>
  <c r="H67" i="49"/>
  <c r="O67" i="49" s="1"/>
  <c r="P67" i="49" s="1"/>
  <c r="M66" i="49"/>
  <c r="N66" i="49" s="1"/>
  <c r="K66" i="49"/>
  <c r="L66" i="49" s="1"/>
  <c r="I66" i="49"/>
  <c r="H66" i="49"/>
  <c r="O66" i="49" s="1"/>
  <c r="M65" i="49"/>
  <c r="N65" i="49" s="1"/>
  <c r="K65" i="49"/>
  <c r="L65" i="49" s="1"/>
  <c r="H65" i="49"/>
  <c r="O65" i="49" s="1"/>
  <c r="P65" i="49" s="1"/>
  <c r="M64" i="49"/>
  <c r="N64" i="49" s="1"/>
  <c r="K64" i="49"/>
  <c r="L64" i="49" s="1"/>
  <c r="I64" i="49"/>
  <c r="H64" i="49"/>
  <c r="O64" i="49" s="1"/>
  <c r="M63" i="49"/>
  <c r="N63" i="49" s="1"/>
  <c r="K63" i="49"/>
  <c r="L63" i="49" s="1"/>
  <c r="H63" i="49"/>
  <c r="O63" i="49" s="1"/>
  <c r="P63" i="49" s="1"/>
  <c r="M62" i="49"/>
  <c r="N62" i="49" s="1"/>
  <c r="K62" i="49"/>
  <c r="L62" i="49" s="1"/>
  <c r="H62" i="49"/>
  <c r="O62" i="49" s="1"/>
  <c r="P62" i="49" s="1"/>
  <c r="M61" i="49"/>
  <c r="N61" i="49" s="1"/>
  <c r="K61" i="49"/>
  <c r="L61" i="49" s="1"/>
  <c r="H61" i="49"/>
  <c r="O61" i="49" s="1"/>
  <c r="P61" i="49" s="1"/>
  <c r="M60" i="49"/>
  <c r="N60" i="49" s="1"/>
  <c r="K60" i="49"/>
  <c r="L60" i="49" s="1"/>
  <c r="H60" i="49"/>
  <c r="O60" i="49" s="1"/>
  <c r="P60" i="49" s="1"/>
  <c r="M59" i="49"/>
  <c r="N59" i="49" s="1"/>
  <c r="K59" i="49"/>
  <c r="L59" i="49" s="1"/>
  <c r="H59" i="49"/>
  <c r="O59" i="49" s="1"/>
  <c r="P59" i="49" s="1"/>
  <c r="M58" i="49"/>
  <c r="N58" i="49" s="1"/>
  <c r="K58" i="49"/>
  <c r="L58" i="49" s="1"/>
  <c r="H58" i="49"/>
  <c r="O58" i="49" s="1"/>
  <c r="P58" i="49" s="1"/>
  <c r="M57" i="49"/>
  <c r="N57" i="49" s="1"/>
  <c r="K57" i="49"/>
  <c r="L57" i="49" s="1"/>
  <c r="H57" i="49"/>
  <c r="O57" i="49" s="1"/>
  <c r="P57" i="49" s="1"/>
  <c r="M56" i="49"/>
  <c r="N56" i="49" s="1"/>
  <c r="K56" i="49"/>
  <c r="L56" i="49" s="1"/>
  <c r="H56" i="49"/>
  <c r="O56" i="49" s="1"/>
  <c r="P56" i="49" s="1"/>
  <c r="M55" i="49"/>
  <c r="N55" i="49" s="1"/>
  <c r="K55" i="49"/>
  <c r="L55" i="49" s="1"/>
  <c r="H55" i="49"/>
  <c r="O55" i="49" s="1"/>
  <c r="P55" i="49" s="1"/>
  <c r="O54" i="49"/>
  <c r="P54" i="49" s="1"/>
  <c r="M54" i="49"/>
  <c r="N54" i="49" s="1"/>
  <c r="K54" i="49"/>
  <c r="L54" i="49" s="1"/>
  <c r="O53" i="49"/>
  <c r="P53" i="49" s="1"/>
  <c r="M53" i="49"/>
  <c r="N53" i="49" s="1"/>
  <c r="K53" i="49"/>
  <c r="L53" i="49" s="1"/>
  <c r="O52" i="49"/>
  <c r="P52" i="49" s="1"/>
  <c r="M52" i="49"/>
  <c r="N52" i="49" s="1"/>
  <c r="K52" i="49"/>
  <c r="L52" i="49" s="1"/>
  <c r="O51" i="49"/>
  <c r="P51" i="49" s="1"/>
  <c r="M51" i="49"/>
  <c r="N51" i="49" s="1"/>
  <c r="K51" i="49"/>
  <c r="L51" i="49" s="1"/>
  <c r="O50" i="49"/>
  <c r="P50" i="49" s="1"/>
  <c r="M50" i="49"/>
  <c r="N50" i="49" s="1"/>
  <c r="K50" i="49"/>
  <c r="L50" i="49" s="1"/>
  <c r="O49" i="49"/>
  <c r="P49" i="49" s="1"/>
  <c r="M49" i="49"/>
  <c r="N49" i="49" s="1"/>
  <c r="K49" i="49"/>
  <c r="L49" i="49" s="1"/>
  <c r="O48" i="49"/>
  <c r="P48" i="49" s="1"/>
  <c r="M48" i="49"/>
  <c r="N48" i="49" s="1"/>
  <c r="D48" i="49"/>
  <c r="O47" i="49"/>
  <c r="M47" i="49"/>
  <c r="N47" i="49" s="1"/>
  <c r="I47" i="49"/>
  <c r="E47" i="49"/>
  <c r="D47" i="49"/>
  <c r="K47" i="49" s="1"/>
  <c r="O46" i="49"/>
  <c r="P46" i="49" s="1"/>
  <c r="M46" i="49"/>
  <c r="N46" i="49" s="1"/>
  <c r="K46" i="49"/>
  <c r="L46" i="49" s="1"/>
  <c r="O45" i="49"/>
  <c r="P45" i="49" s="1"/>
  <c r="M45" i="49"/>
  <c r="N45" i="49" s="1"/>
  <c r="D45" i="49"/>
  <c r="K45" i="49" s="1"/>
  <c r="L45" i="49" s="1"/>
  <c r="H44" i="49"/>
  <c r="O44" i="49" s="1"/>
  <c r="P44" i="49" s="1"/>
  <c r="F44" i="49"/>
  <c r="M44" i="49" s="1"/>
  <c r="N44" i="49" s="1"/>
  <c r="D44" i="49"/>
  <c r="K44" i="49" s="1"/>
  <c r="L44" i="49" s="1"/>
  <c r="H43" i="49"/>
  <c r="O43" i="49" s="1"/>
  <c r="P43" i="49" s="1"/>
  <c r="F43" i="49"/>
  <c r="M43" i="49" s="1"/>
  <c r="N43" i="49" s="1"/>
  <c r="D43" i="49"/>
  <c r="K43" i="49" s="1"/>
  <c r="L43" i="49" s="1"/>
  <c r="O34" i="49"/>
  <c r="P34" i="49" s="1"/>
  <c r="M34" i="49"/>
  <c r="N34" i="49" s="1"/>
  <c r="K34" i="49"/>
  <c r="E34" i="49"/>
  <c r="O33" i="49"/>
  <c r="P33" i="49" s="1"/>
  <c r="M33" i="49"/>
  <c r="N33" i="49" s="1"/>
  <c r="K33" i="49"/>
  <c r="E33" i="49"/>
  <c r="O30" i="49"/>
  <c r="M30" i="49"/>
  <c r="N30" i="49" s="1"/>
  <c r="K30" i="49"/>
  <c r="L30" i="49" s="1"/>
  <c r="I30" i="49"/>
  <c r="O29" i="49"/>
  <c r="P29" i="49" s="1"/>
  <c r="M29" i="49"/>
  <c r="K29" i="49"/>
  <c r="L29" i="49" s="1"/>
  <c r="G29" i="49"/>
  <c r="O28" i="49"/>
  <c r="P28" i="49" s="1"/>
  <c r="M28" i="49"/>
  <c r="N28" i="49" s="1"/>
  <c r="K28" i="49"/>
  <c r="L28" i="49" s="1"/>
  <c r="O27" i="49"/>
  <c r="P27" i="49" s="1"/>
  <c r="M27" i="49"/>
  <c r="N27" i="49" s="1"/>
  <c r="K27" i="49"/>
  <c r="L27" i="49" s="1"/>
  <c r="O25" i="49"/>
  <c r="P25" i="49" s="1"/>
  <c r="M25" i="49"/>
  <c r="N25" i="49" s="1"/>
  <c r="K25" i="49"/>
  <c r="L25" i="49" s="1"/>
  <c r="O24" i="49"/>
  <c r="P24" i="49" s="1"/>
  <c r="M24" i="49"/>
  <c r="N24" i="49" s="1"/>
  <c r="K24" i="49"/>
  <c r="E24" i="49"/>
  <c r="O23" i="49"/>
  <c r="P23" i="49" s="1"/>
  <c r="M23" i="49"/>
  <c r="N23" i="49" s="1"/>
  <c r="K23" i="49"/>
  <c r="E23" i="49"/>
  <c r="O22" i="49"/>
  <c r="P22" i="49" s="1"/>
  <c r="M22" i="49"/>
  <c r="N22" i="49" s="1"/>
  <c r="K22" i="49"/>
  <c r="L22" i="49" s="1"/>
  <c r="O21" i="49"/>
  <c r="P21" i="49" s="1"/>
  <c r="M21" i="49"/>
  <c r="N21" i="49" s="1"/>
  <c r="K21" i="49"/>
  <c r="L21" i="49" s="1"/>
  <c r="H20" i="49"/>
  <c r="O20" i="49" s="1"/>
  <c r="P20" i="49" s="1"/>
  <c r="F20" i="49"/>
  <c r="D20" i="49"/>
  <c r="K20" i="49" s="1"/>
  <c r="L20" i="49" s="1"/>
  <c r="I19" i="49"/>
  <c r="H19" i="49"/>
  <c r="O19" i="49" s="1"/>
  <c r="G19" i="49"/>
  <c r="F19" i="49"/>
  <c r="M19" i="49" s="1"/>
  <c r="D19" i="49"/>
  <c r="K19" i="49" s="1"/>
  <c r="L19" i="49" s="1"/>
  <c r="H15" i="49"/>
  <c r="O15" i="49" s="1"/>
  <c r="P15" i="49" s="1"/>
  <c r="F15" i="49"/>
  <c r="M15" i="49" s="1"/>
  <c r="N15" i="49" s="1"/>
  <c r="D15" i="49"/>
  <c r="D14" i="49" s="1"/>
  <c r="I14" i="49"/>
  <c r="G14" i="49"/>
  <c r="E14" i="49"/>
  <c r="E192" i="49" l="1"/>
  <c r="H192" i="49"/>
  <c r="H107" i="49"/>
  <c r="F18" i="49"/>
  <c r="D18" i="49"/>
  <c r="H18" i="49"/>
  <c r="L80" i="49"/>
  <c r="E42" i="49"/>
  <c r="I42" i="49"/>
  <c r="D42" i="49"/>
  <c r="D92" i="49"/>
  <c r="K15" i="49"/>
  <c r="L15" i="49" s="1"/>
  <c r="H14" i="49"/>
  <c r="M20" i="49"/>
  <c r="N20" i="49" s="1"/>
  <c r="G192" i="49"/>
  <c r="I192" i="49"/>
  <c r="L23" i="49"/>
  <c r="G18" i="49"/>
  <c r="F42" i="49"/>
  <c r="L81" i="49"/>
  <c r="F192" i="49"/>
  <c r="P47" i="49"/>
  <c r="L34" i="49"/>
  <c r="P64" i="49"/>
  <c r="L24" i="49"/>
  <c r="L33" i="49"/>
  <c r="N29" i="49"/>
  <c r="P30" i="49"/>
  <c r="D192" i="49"/>
  <c r="G113" i="49"/>
  <c r="P19" i="49"/>
  <c r="P66" i="49"/>
  <c r="F14" i="49"/>
  <c r="I18" i="49"/>
  <c r="E18" i="49"/>
  <c r="L47" i="49"/>
  <c r="K48" i="49"/>
  <c r="L48" i="49" s="1"/>
  <c r="F92" i="49"/>
  <c r="N19" i="49"/>
  <c r="H42" i="49"/>
  <c r="G79" i="48"/>
  <c r="E113" i="49" l="1"/>
  <c r="E194" i="49" s="1"/>
  <c r="H113" i="49"/>
  <c r="H194" i="49" s="1"/>
  <c r="H204" i="49" s="1"/>
  <c r="I113" i="49"/>
  <c r="I194" i="49" s="1"/>
  <c r="D113" i="49"/>
  <c r="D194" i="49" s="1"/>
  <c r="D204" i="49" s="1"/>
  <c r="G194" i="49"/>
  <c r="F113" i="49"/>
  <c r="F194" i="49" s="1"/>
  <c r="F204" i="49" s="1"/>
  <c r="E34" i="48"/>
  <c r="E33" i="48"/>
  <c r="O34" i="48" l="1"/>
  <c r="P34" i="48" s="1"/>
  <c r="M34" i="48"/>
  <c r="N34" i="48" s="1"/>
  <c r="K34" i="48"/>
  <c r="L34" i="48" s="1"/>
  <c r="O33" i="48"/>
  <c r="P33" i="48" s="1"/>
  <c r="M33" i="48"/>
  <c r="N33" i="48" s="1"/>
  <c r="K33" i="48"/>
  <c r="L33" i="48" s="1"/>
  <c r="D195" i="48" l="1"/>
  <c r="E76" i="48" l="1"/>
  <c r="E134" i="48"/>
  <c r="E75" i="48"/>
  <c r="E24" i="48"/>
  <c r="E23" i="48"/>
  <c r="E18" i="48" l="1"/>
  <c r="I120" i="48"/>
  <c r="H120" i="48"/>
  <c r="G120" i="48"/>
  <c r="F120" i="48"/>
  <c r="E120" i="48"/>
  <c r="D120" i="48"/>
  <c r="D74" i="48"/>
  <c r="D15" i="48"/>
  <c r="D14" i="48" s="1"/>
  <c r="I178" i="48"/>
  <c r="H178" i="48"/>
  <c r="G178" i="48"/>
  <c r="F178" i="48"/>
  <c r="E178" i="48"/>
  <c r="D178" i="48"/>
  <c r="I172" i="48"/>
  <c r="H172" i="48"/>
  <c r="G172" i="48"/>
  <c r="F172" i="48"/>
  <c r="E172" i="48"/>
  <c r="D172" i="48"/>
  <c r="I168" i="48"/>
  <c r="H168" i="48"/>
  <c r="G168" i="48"/>
  <c r="F168" i="48"/>
  <c r="E168" i="48"/>
  <c r="D168" i="48"/>
  <c r="I163" i="48"/>
  <c r="H163" i="48"/>
  <c r="G163" i="48"/>
  <c r="F163" i="48"/>
  <c r="E163" i="48"/>
  <c r="D163" i="48"/>
  <c r="I159" i="48"/>
  <c r="H159" i="48"/>
  <c r="G159" i="48"/>
  <c r="F159" i="48"/>
  <c r="E159" i="48"/>
  <c r="D159" i="48"/>
  <c r="D153" i="48"/>
  <c r="I151" i="48"/>
  <c r="H151" i="48"/>
  <c r="G151" i="48"/>
  <c r="F151" i="48"/>
  <c r="E151" i="48"/>
  <c r="I144" i="48"/>
  <c r="H144" i="48"/>
  <c r="G144" i="48"/>
  <c r="F144" i="48"/>
  <c r="E144" i="48"/>
  <c r="D144" i="48"/>
  <c r="I140" i="48"/>
  <c r="H140" i="48"/>
  <c r="G140" i="48"/>
  <c r="F140" i="48"/>
  <c r="E140" i="48"/>
  <c r="D140" i="48"/>
  <c r="E129" i="48"/>
  <c r="I129" i="48"/>
  <c r="H129" i="48"/>
  <c r="G129" i="48"/>
  <c r="F129" i="48"/>
  <c r="D129" i="48"/>
  <c r="I124" i="48"/>
  <c r="H124" i="48"/>
  <c r="G124" i="48"/>
  <c r="E124" i="48"/>
  <c r="D124" i="48"/>
  <c r="I114" i="48"/>
  <c r="H114" i="48"/>
  <c r="G114" i="48"/>
  <c r="F114" i="48"/>
  <c r="E114" i="48"/>
  <c r="D114" i="48"/>
  <c r="D108" i="48"/>
  <c r="I107" i="48"/>
  <c r="H107" i="48"/>
  <c r="G107" i="48"/>
  <c r="F107" i="48"/>
  <c r="E107" i="48"/>
  <c r="H100" i="48"/>
  <c r="O100" i="48" s="1"/>
  <c r="P100" i="48" s="1"/>
  <c r="F100" i="48"/>
  <c r="D100" i="48"/>
  <c r="D99" i="48" s="1"/>
  <c r="I99" i="48"/>
  <c r="G99" i="48"/>
  <c r="E99" i="48"/>
  <c r="I95" i="48"/>
  <c r="H95" i="48"/>
  <c r="G95" i="48"/>
  <c r="F95" i="48"/>
  <c r="E95" i="48"/>
  <c r="D95" i="48"/>
  <c r="O91" i="48"/>
  <c r="P91" i="48" s="1"/>
  <c r="M91" i="48"/>
  <c r="N91" i="48" s="1"/>
  <c r="K91" i="48"/>
  <c r="L91" i="48" s="1"/>
  <c r="O90" i="48"/>
  <c r="P90" i="48" s="1"/>
  <c r="M90" i="48"/>
  <c r="N90" i="48" s="1"/>
  <c r="K90" i="48"/>
  <c r="L90" i="48" s="1"/>
  <c r="O89" i="48"/>
  <c r="P89" i="48" s="1"/>
  <c r="M89" i="48"/>
  <c r="N89" i="48" s="1"/>
  <c r="K89" i="48"/>
  <c r="L89" i="48" s="1"/>
  <c r="O88" i="48"/>
  <c r="P88" i="48" s="1"/>
  <c r="F88" i="48"/>
  <c r="F84" i="48" s="1"/>
  <c r="D88" i="48"/>
  <c r="K88" i="48" s="1"/>
  <c r="L88" i="48" s="1"/>
  <c r="O87" i="48"/>
  <c r="P87" i="48" s="1"/>
  <c r="M87" i="48"/>
  <c r="N87" i="48" s="1"/>
  <c r="K87" i="48"/>
  <c r="L87" i="48" s="1"/>
  <c r="O86" i="48"/>
  <c r="P86" i="48" s="1"/>
  <c r="M86" i="48"/>
  <c r="N86" i="48" s="1"/>
  <c r="K86" i="48"/>
  <c r="L86" i="48" s="1"/>
  <c r="O85" i="48"/>
  <c r="P85" i="48" s="1"/>
  <c r="M85" i="48"/>
  <c r="N85" i="48" s="1"/>
  <c r="K85" i="48"/>
  <c r="L85" i="48" s="1"/>
  <c r="I84" i="48"/>
  <c r="H84" i="48"/>
  <c r="G84" i="48"/>
  <c r="E84" i="48"/>
  <c r="O76" i="48"/>
  <c r="P76" i="48" s="1"/>
  <c r="M76" i="48"/>
  <c r="N76" i="48" s="1"/>
  <c r="K76" i="48"/>
  <c r="L76" i="48" s="1"/>
  <c r="O75" i="48"/>
  <c r="P75" i="48" s="1"/>
  <c r="M75" i="48"/>
  <c r="N75" i="48" s="1"/>
  <c r="K75" i="48"/>
  <c r="L75" i="48" s="1"/>
  <c r="O74" i="48"/>
  <c r="P74" i="48" s="1"/>
  <c r="M74" i="48"/>
  <c r="N74" i="48" s="1"/>
  <c r="K74" i="48"/>
  <c r="L74" i="48" s="1"/>
  <c r="O73" i="48"/>
  <c r="P73" i="48" s="1"/>
  <c r="M73" i="48"/>
  <c r="N73" i="48" s="1"/>
  <c r="K73" i="48"/>
  <c r="L73" i="48" s="1"/>
  <c r="O72" i="48"/>
  <c r="P72" i="48" s="1"/>
  <c r="M72" i="48"/>
  <c r="N72" i="48" s="1"/>
  <c r="D72" i="48"/>
  <c r="K72" i="48" s="1"/>
  <c r="L72" i="48" s="1"/>
  <c r="O71" i="48"/>
  <c r="P71" i="48" s="1"/>
  <c r="M71" i="48"/>
  <c r="N71" i="48" s="1"/>
  <c r="K71" i="48"/>
  <c r="L71" i="48" s="1"/>
  <c r="M70" i="48"/>
  <c r="N70" i="48" s="1"/>
  <c r="K70" i="48"/>
  <c r="L70" i="48" s="1"/>
  <c r="H70" i="48"/>
  <c r="O70" i="48" s="1"/>
  <c r="P70" i="48" s="1"/>
  <c r="M69" i="48"/>
  <c r="N69" i="48" s="1"/>
  <c r="K69" i="48"/>
  <c r="L69" i="48" s="1"/>
  <c r="H69" i="48"/>
  <c r="O69" i="48" s="1"/>
  <c r="P69" i="48" s="1"/>
  <c r="M68" i="48"/>
  <c r="N68" i="48" s="1"/>
  <c r="K68" i="48"/>
  <c r="L68" i="48" s="1"/>
  <c r="H68" i="48"/>
  <c r="O68" i="48" s="1"/>
  <c r="P68" i="48" s="1"/>
  <c r="M67" i="48"/>
  <c r="N67" i="48" s="1"/>
  <c r="K67" i="48"/>
  <c r="L67" i="48" s="1"/>
  <c r="H67" i="48"/>
  <c r="O67" i="48" s="1"/>
  <c r="P67" i="48" s="1"/>
  <c r="M66" i="48"/>
  <c r="N66" i="48" s="1"/>
  <c r="K66" i="48"/>
  <c r="L66" i="48" s="1"/>
  <c r="H66" i="48"/>
  <c r="O66" i="48" s="1"/>
  <c r="P66" i="48" s="1"/>
  <c r="M65" i="48"/>
  <c r="N65" i="48" s="1"/>
  <c r="K65" i="48"/>
  <c r="L65" i="48" s="1"/>
  <c r="H65" i="48"/>
  <c r="O65" i="48" s="1"/>
  <c r="P65" i="48" s="1"/>
  <c r="M64" i="48"/>
  <c r="N64" i="48" s="1"/>
  <c r="K64" i="48"/>
  <c r="L64" i="48" s="1"/>
  <c r="H64" i="48"/>
  <c r="O64" i="48" s="1"/>
  <c r="P64" i="48" s="1"/>
  <c r="M63" i="48"/>
  <c r="N63" i="48" s="1"/>
  <c r="K63" i="48"/>
  <c r="L63" i="48" s="1"/>
  <c r="H63" i="48"/>
  <c r="O63" i="48" s="1"/>
  <c r="P63" i="48" s="1"/>
  <c r="M62" i="48"/>
  <c r="N62" i="48" s="1"/>
  <c r="K62" i="48"/>
  <c r="L62" i="48" s="1"/>
  <c r="H62" i="48"/>
  <c r="O62" i="48" s="1"/>
  <c r="P62" i="48" s="1"/>
  <c r="M61" i="48"/>
  <c r="N61" i="48" s="1"/>
  <c r="K61" i="48"/>
  <c r="L61" i="48" s="1"/>
  <c r="I61" i="48"/>
  <c r="H61" i="48"/>
  <c r="O61" i="48" s="1"/>
  <c r="M60" i="48"/>
  <c r="N60" i="48" s="1"/>
  <c r="K60" i="48"/>
  <c r="L60" i="48" s="1"/>
  <c r="H60" i="48"/>
  <c r="O60" i="48" s="1"/>
  <c r="P60" i="48" s="1"/>
  <c r="M59" i="48"/>
  <c r="N59" i="48" s="1"/>
  <c r="K59" i="48"/>
  <c r="L59" i="48" s="1"/>
  <c r="I59" i="48"/>
  <c r="H59" i="48"/>
  <c r="O59" i="48" s="1"/>
  <c r="M58" i="48"/>
  <c r="N58" i="48" s="1"/>
  <c r="K58" i="48"/>
  <c r="L58" i="48" s="1"/>
  <c r="H58" i="48"/>
  <c r="O58" i="48" s="1"/>
  <c r="P58" i="48" s="1"/>
  <c r="M57" i="48"/>
  <c r="N57" i="48" s="1"/>
  <c r="K57" i="48"/>
  <c r="L57" i="48" s="1"/>
  <c r="H57" i="48"/>
  <c r="O57" i="48" s="1"/>
  <c r="P57" i="48" s="1"/>
  <c r="M56" i="48"/>
  <c r="N56" i="48" s="1"/>
  <c r="K56" i="48"/>
  <c r="L56" i="48" s="1"/>
  <c r="H56" i="48"/>
  <c r="O56" i="48" s="1"/>
  <c r="P56" i="48" s="1"/>
  <c r="M55" i="48"/>
  <c r="N55" i="48" s="1"/>
  <c r="K55" i="48"/>
  <c r="L55" i="48" s="1"/>
  <c r="H55" i="48"/>
  <c r="O55" i="48" s="1"/>
  <c r="P55" i="48" s="1"/>
  <c r="M54" i="48"/>
  <c r="N54" i="48" s="1"/>
  <c r="K54" i="48"/>
  <c r="L54" i="48" s="1"/>
  <c r="H54" i="48"/>
  <c r="O54" i="48" s="1"/>
  <c r="P54" i="48" s="1"/>
  <c r="M53" i="48"/>
  <c r="N53" i="48" s="1"/>
  <c r="K53" i="48"/>
  <c r="L53" i="48" s="1"/>
  <c r="H53" i="48"/>
  <c r="O53" i="48" s="1"/>
  <c r="P53" i="48" s="1"/>
  <c r="M52" i="48"/>
  <c r="N52" i="48" s="1"/>
  <c r="K52" i="48"/>
  <c r="L52" i="48" s="1"/>
  <c r="H52" i="48"/>
  <c r="O52" i="48" s="1"/>
  <c r="P52" i="48" s="1"/>
  <c r="M51" i="48"/>
  <c r="N51" i="48" s="1"/>
  <c r="K51" i="48"/>
  <c r="L51" i="48" s="1"/>
  <c r="H51" i="48"/>
  <c r="O51" i="48" s="1"/>
  <c r="P51" i="48" s="1"/>
  <c r="M50" i="48"/>
  <c r="N50" i="48" s="1"/>
  <c r="K50" i="48"/>
  <c r="L50" i="48" s="1"/>
  <c r="H50" i="48"/>
  <c r="O50" i="48" s="1"/>
  <c r="P50" i="48" s="1"/>
  <c r="O49" i="48"/>
  <c r="P49" i="48" s="1"/>
  <c r="M49" i="48"/>
  <c r="N49" i="48" s="1"/>
  <c r="K49" i="48"/>
  <c r="L49" i="48" s="1"/>
  <c r="O48" i="48"/>
  <c r="P48" i="48" s="1"/>
  <c r="M48" i="48"/>
  <c r="N48" i="48" s="1"/>
  <c r="K48" i="48"/>
  <c r="L48" i="48" s="1"/>
  <c r="O47" i="48"/>
  <c r="P47" i="48" s="1"/>
  <c r="M47" i="48"/>
  <c r="N47" i="48" s="1"/>
  <c r="K47" i="48"/>
  <c r="L47" i="48" s="1"/>
  <c r="O46" i="48"/>
  <c r="P46" i="48" s="1"/>
  <c r="M46" i="48"/>
  <c r="N46" i="48" s="1"/>
  <c r="K46" i="48"/>
  <c r="L46" i="48" s="1"/>
  <c r="O45" i="48"/>
  <c r="P45" i="48" s="1"/>
  <c r="M45" i="48"/>
  <c r="N45" i="48" s="1"/>
  <c r="K45" i="48"/>
  <c r="L45" i="48" s="1"/>
  <c r="O44" i="48"/>
  <c r="P44" i="48" s="1"/>
  <c r="M44" i="48"/>
  <c r="N44" i="48" s="1"/>
  <c r="K44" i="48"/>
  <c r="L44" i="48" s="1"/>
  <c r="O43" i="48"/>
  <c r="P43" i="48" s="1"/>
  <c r="M43" i="48"/>
  <c r="N43" i="48" s="1"/>
  <c r="D43" i="48"/>
  <c r="K43" i="48" s="1"/>
  <c r="L43" i="48" s="1"/>
  <c r="O42" i="48"/>
  <c r="M42" i="48"/>
  <c r="N42" i="48" s="1"/>
  <c r="I42" i="48"/>
  <c r="E42" i="48"/>
  <c r="D42" i="48"/>
  <c r="K42" i="48" s="1"/>
  <c r="O41" i="48"/>
  <c r="P41" i="48" s="1"/>
  <c r="M41" i="48"/>
  <c r="N41" i="48" s="1"/>
  <c r="K41" i="48"/>
  <c r="L41" i="48" s="1"/>
  <c r="O40" i="48"/>
  <c r="P40" i="48" s="1"/>
  <c r="M40" i="48"/>
  <c r="N40" i="48" s="1"/>
  <c r="D40" i="48"/>
  <c r="K40" i="48" s="1"/>
  <c r="L40" i="48" s="1"/>
  <c r="H39" i="48"/>
  <c r="O39" i="48" s="1"/>
  <c r="P39" i="48" s="1"/>
  <c r="F39" i="48"/>
  <c r="M39" i="48" s="1"/>
  <c r="N39" i="48" s="1"/>
  <c r="D39" i="48"/>
  <c r="K39" i="48" s="1"/>
  <c r="L39" i="48" s="1"/>
  <c r="H38" i="48"/>
  <c r="O38" i="48" s="1"/>
  <c r="P38" i="48" s="1"/>
  <c r="F38" i="48"/>
  <c r="D38" i="48"/>
  <c r="G37" i="48"/>
  <c r="O30" i="48"/>
  <c r="M30" i="48"/>
  <c r="N30" i="48" s="1"/>
  <c r="K30" i="48"/>
  <c r="L30" i="48" s="1"/>
  <c r="I30" i="48"/>
  <c r="O29" i="48"/>
  <c r="P29" i="48" s="1"/>
  <c r="M29" i="48"/>
  <c r="K29" i="48"/>
  <c r="L29" i="48" s="1"/>
  <c r="G29" i="48"/>
  <c r="O28" i="48"/>
  <c r="P28" i="48" s="1"/>
  <c r="M28" i="48"/>
  <c r="N28" i="48" s="1"/>
  <c r="K28" i="48"/>
  <c r="L28" i="48" s="1"/>
  <c r="O27" i="48"/>
  <c r="P27" i="48" s="1"/>
  <c r="M27" i="48"/>
  <c r="N27" i="48" s="1"/>
  <c r="K27" i="48"/>
  <c r="L27" i="48" s="1"/>
  <c r="O25" i="48"/>
  <c r="P25" i="48" s="1"/>
  <c r="M25" i="48"/>
  <c r="N25" i="48" s="1"/>
  <c r="K25" i="48"/>
  <c r="L25" i="48" s="1"/>
  <c r="O24" i="48"/>
  <c r="P24" i="48" s="1"/>
  <c r="M24" i="48"/>
  <c r="N24" i="48" s="1"/>
  <c r="K24" i="48"/>
  <c r="L24" i="48" s="1"/>
  <c r="O23" i="48"/>
  <c r="P23" i="48" s="1"/>
  <c r="M23" i="48"/>
  <c r="N23" i="48" s="1"/>
  <c r="K23" i="48"/>
  <c r="O22" i="48"/>
  <c r="P22" i="48" s="1"/>
  <c r="M22" i="48"/>
  <c r="N22" i="48" s="1"/>
  <c r="K22" i="48"/>
  <c r="L22" i="48" s="1"/>
  <c r="O21" i="48"/>
  <c r="P21" i="48" s="1"/>
  <c r="M21" i="48"/>
  <c r="N21" i="48" s="1"/>
  <c r="K21" i="48"/>
  <c r="L21" i="48" s="1"/>
  <c r="H20" i="48"/>
  <c r="O20" i="48" s="1"/>
  <c r="P20" i="48" s="1"/>
  <c r="F20" i="48"/>
  <c r="M20" i="48" s="1"/>
  <c r="N20" i="48" s="1"/>
  <c r="D20" i="48"/>
  <c r="I19" i="48"/>
  <c r="H19" i="48"/>
  <c r="G19" i="48"/>
  <c r="F19" i="48"/>
  <c r="D19" i="48"/>
  <c r="K19" i="48" s="1"/>
  <c r="L19" i="48" s="1"/>
  <c r="K15" i="48"/>
  <c r="L15" i="48" s="1"/>
  <c r="H15" i="48"/>
  <c r="F15" i="48"/>
  <c r="M15" i="48" s="1"/>
  <c r="N15" i="48" s="1"/>
  <c r="I14" i="48"/>
  <c r="G14" i="48"/>
  <c r="E14" i="48"/>
  <c r="I38" i="47"/>
  <c r="I198" i="47"/>
  <c r="E38" i="47"/>
  <c r="I57" i="47"/>
  <c r="I55" i="47"/>
  <c r="E124" i="47"/>
  <c r="E119" i="47" s="1"/>
  <c r="M67" i="47"/>
  <c r="N67" i="47"/>
  <c r="M41" i="47"/>
  <c r="N41" i="47"/>
  <c r="M42" i="47"/>
  <c r="N42" i="47" s="1"/>
  <c r="M43" i="47"/>
  <c r="N43" i="47"/>
  <c r="M44" i="47"/>
  <c r="N44" i="47"/>
  <c r="M45" i="47"/>
  <c r="N45" i="47" s="1"/>
  <c r="M40" i="47"/>
  <c r="I30" i="47"/>
  <c r="I19" i="47"/>
  <c r="G29" i="47"/>
  <c r="E24" i="47"/>
  <c r="E19" i="47" s="1"/>
  <c r="I20" i="47"/>
  <c r="G20" i="47"/>
  <c r="O82" i="47"/>
  <c r="P82" i="47"/>
  <c r="M82" i="47"/>
  <c r="N82" i="47" s="1"/>
  <c r="K82" i="47"/>
  <c r="L82" i="47"/>
  <c r="O81" i="47"/>
  <c r="P81" i="47"/>
  <c r="M81" i="47"/>
  <c r="N81" i="47" s="1"/>
  <c r="K81" i="47"/>
  <c r="L81" i="47"/>
  <c r="O80" i="47"/>
  <c r="P80" i="47"/>
  <c r="M80" i="47"/>
  <c r="N80" i="47" s="1"/>
  <c r="K80" i="47"/>
  <c r="L80" i="47"/>
  <c r="O79" i="47"/>
  <c r="P79" i="47"/>
  <c r="O78" i="47"/>
  <c r="P78" i="47" s="1"/>
  <c r="M78" i="47"/>
  <c r="N78" i="47"/>
  <c r="K78" i="47"/>
  <c r="L78" i="47"/>
  <c r="O77" i="47"/>
  <c r="P77" i="47" s="1"/>
  <c r="M77" i="47"/>
  <c r="N77" i="47"/>
  <c r="K77" i="47"/>
  <c r="L77" i="47"/>
  <c r="O76" i="47"/>
  <c r="P76" i="47" s="1"/>
  <c r="M76" i="47"/>
  <c r="N76" i="47"/>
  <c r="K76" i="47"/>
  <c r="L76" i="47"/>
  <c r="O72" i="47"/>
  <c r="P72" i="47" s="1"/>
  <c r="M72" i="47"/>
  <c r="N72" i="47"/>
  <c r="K72" i="47"/>
  <c r="L72" i="47"/>
  <c r="O71" i="47"/>
  <c r="P71" i="47" s="1"/>
  <c r="M71" i="47"/>
  <c r="N71" i="47"/>
  <c r="K71" i="47"/>
  <c r="L71" i="47"/>
  <c r="O70" i="47"/>
  <c r="P70" i="47" s="1"/>
  <c r="M70" i="47"/>
  <c r="N70" i="47" s="1"/>
  <c r="K70" i="47"/>
  <c r="L70" i="47"/>
  <c r="O69" i="47"/>
  <c r="P69" i="47" s="1"/>
  <c r="M69" i="47"/>
  <c r="N69" i="47"/>
  <c r="K69" i="47"/>
  <c r="L69" i="47"/>
  <c r="O68" i="47"/>
  <c r="P68" i="47" s="1"/>
  <c r="M68" i="47"/>
  <c r="N68" i="47" s="1"/>
  <c r="O67" i="47"/>
  <c r="P67" i="47"/>
  <c r="K67" i="47"/>
  <c r="L67" i="47" s="1"/>
  <c r="M66" i="47"/>
  <c r="N66" i="47" s="1"/>
  <c r="K66" i="47"/>
  <c r="L66" i="47"/>
  <c r="M65" i="47"/>
  <c r="N65" i="47" s="1"/>
  <c r="K65" i="47"/>
  <c r="L65" i="47" s="1"/>
  <c r="M64" i="47"/>
  <c r="N64" i="47"/>
  <c r="K64" i="47"/>
  <c r="L64" i="47" s="1"/>
  <c r="M63" i="47"/>
  <c r="N63" i="47"/>
  <c r="K63" i="47"/>
  <c r="L63" i="47"/>
  <c r="M62" i="47"/>
  <c r="N62" i="47" s="1"/>
  <c r="K62" i="47"/>
  <c r="L62" i="47"/>
  <c r="M61" i="47"/>
  <c r="N61" i="47"/>
  <c r="K61" i="47"/>
  <c r="L61" i="47" s="1"/>
  <c r="M60" i="47"/>
  <c r="N60" i="47"/>
  <c r="K60" i="47"/>
  <c r="L60" i="47"/>
  <c r="M59" i="47"/>
  <c r="N59" i="47" s="1"/>
  <c r="K59" i="47"/>
  <c r="L59" i="47"/>
  <c r="M58" i="47"/>
  <c r="N58" i="47"/>
  <c r="K58" i="47"/>
  <c r="L58" i="47" s="1"/>
  <c r="M57" i="47"/>
  <c r="N57" i="47"/>
  <c r="K57" i="47"/>
  <c r="L57" i="47"/>
  <c r="M56" i="47"/>
  <c r="N56" i="47" s="1"/>
  <c r="K56" i="47"/>
  <c r="L56" i="47" s="1"/>
  <c r="M55" i="47"/>
  <c r="N55" i="47"/>
  <c r="K55" i="47"/>
  <c r="L55" i="47" s="1"/>
  <c r="M54" i="47"/>
  <c r="N54" i="47"/>
  <c r="K54" i="47"/>
  <c r="L54" i="47"/>
  <c r="M53" i="47"/>
  <c r="N53" i="47" s="1"/>
  <c r="K53" i="47"/>
  <c r="L53" i="47"/>
  <c r="P52" i="47"/>
  <c r="M52" i="47"/>
  <c r="N52" i="47" s="1"/>
  <c r="K52" i="47"/>
  <c r="L52" i="47" s="1"/>
  <c r="M51" i="47"/>
  <c r="N51" i="47"/>
  <c r="K51" i="47"/>
  <c r="L51" i="47"/>
  <c r="M50" i="47"/>
  <c r="N50" i="47"/>
  <c r="K50" i="47"/>
  <c r="L50" i="47"/>
  <c r="M49" i="47"/>
  <c r="N49" i="47" s="1"/>
  <c r="K49" i="47"/>
  <c r="L49" i="47"/>
  <c r="M48" i="47"/>
  <c r="N48" i="47"/>
  <c r="K48" i="47"/>
  <c r="L48" i="47" s="1"/>
  <c r="M47" i="47"/>
  <c r="N47" i="47" s="1"/>
  <c r="K47" i="47"/>
  <c r="L47" i="47"/>
  <c r="M46" i="47"/>
  <c r="N46" i="47"/>
  <c r="K46" i="47"/>
  <c r="L46" i="47"/>
  <c r="O45" i="47"/>
  <c r="P45" i="47"/>
  <c r="K45" i="47"/>
  <c r="L45" i="47" s="1"/>
  <c r="O44" i="47"/>
  <c r="P44" i="47"/>
  <c r="K44" i="47"/>
  <c r="L44" i="47"/>
  <c r="O43" i="47"/>
  <c r="P43" i="47" s="1"/>
  <c r="K43" i="47"/>
  <c r="L43" i="47" s="1"/>
  <c r="O42" i="47"/>
  <c r="P42" i="47" s="1"/>
  <c r="K42" i="47"/>
  <c r="L42" i="47" s="1"/>
  <c r="O41" i="47"/>
  <c r="P41" i="47" s="1"/>
  <c r="K41" i="47"/>
  <c r="L41" i="47"/>
  <c r="P40" i="47"/>
  <c r="O40" i="47"/>
  <c r="N40" i="47"/>
  <c r="K40" i="47"/>
  <c r="L40" i="47"/>
  <c r="O39" i="47"/>
  <c r="P39" i="47" s="1"/>
  <c r="M39" i="47"/>
  <c r="N39" i="47"/>
  <c r="O38" i="47"/>
  <c r="P38" i="47"/>
  <c r="M38" i="47"/>
  <c r="N38" i="47" s="1"/>
  <c r="O37" i="47"/>
  <c r="P37" i="47" s="1"/>
  <c r="M37" i="47"/>
  <c r="N37" i="47"/>
  <c r="K37" i="47"/>
  <c r="L37" i="47" s="1"/>
  <c r="O36" i="47"/>
  <c r="P36" i="47" s="1"/>
  <c r="M36" i="47"/>
  <c r="N36" i="47" s="1"/>
  <c r="O30" i="47"/>
  <c r="M30" i="47"/>
  <c r="N30" i="47" s="1"/>
  <c r="K30" i="47"/>
  <c r="L30" i="47"/>
  <c r="O29" i="47"/>
  <c r="P29" i="47"/>
  <c r="M29" i="47"/>
  <c r="K29" i="47"/>
  <c r="L29" i="47"/>
  <c r="O28" i="47"/>
  <c r="P28" i="47"/>
  <c r="M28" i="47"/>
  <c r="N28" i="47" s="1"/>
  <c r="K28" i="47"/>
  <c r="L28" i="47" s="1"/>
  <c r="O27" i="47"/>
  <c r="P27" i="47"/>
  <c r="M27" i="47"/>
  <c r="N27" i="47" s="1"/>
  <c r="K27" i="47"/>
  <c r="L27" i="47" s="1"/>
  <c r="O26" i="47"/>
  <c r="P26" i="47"/>
  <c r="M26" i="47"/>
  <c r="N26" i="47" s="1"/>
  <c r="K26" i="47"/>
  <c r="L26" i="47"/>
  <c r="O25" i="47"/>
  <c r="P25" i="47"/>
  <c r="M25" i="47"/>
  <c r="N25" i="47" s="1"/>
  <c r="K25" i="47"/>
  <c r="L25" i="47" s="1"/>
  <c r="O24" i="47"/>
  <c r="P24" i="47"/>
  <c r="M24" i="47"/>
  <c r="N24" i="47" s="1"/>
  <c r="K24" i="47"/>
  <c r="O23" i="47"/>
  <c r="P23" i="47" s="1"/>
  <c r="M23" i="47"/>
  <c r="N23" i="47"/>
  <c r="K23" i="47"/>
  <c r="L23" i="47"/>
  <c r="O22" i="47"/>
  <c r="P22" i="47" s="1"/>
  <c r="M22" i="47"/>
  <c r="N22" i="47" s="1"/>
  <c r="K22" i="47"/>
  <c r="L22" i="47"/>
  <c r="H91" i="47"/>
  <c r="H192" i="47"/>
  <c r="H20" i="47"/>
  <c r="O20" i="47"/>
  <c r="P20" i="47" s="1"/>
  <c r="H15" i="47"/>
  <c r="O15" i="47"/>
  <c r="P15" i="47" s="1"/>
  <c r="H66" i="47"/>
  <c r="O66" i="47"/>
  <c r="P66" i="47" s="1"/>
  <c r="H65" i="47"/>
  <c r="O65" i="47"/>
  <c r="P65" i="47" s="1"/>
  <c r="H64" i="47"/>
  <c r="O64" i="47"/>
  <c r="P64" i="47" s="1"/>
  <c r="H63" i="47"/>
  <c r="O63" i="47"/>
  <c r="P63" i="47" s="1"/>
  <c r="H62" i="47"/>
  <c r="O62" i="47"/>
  <c r="P62" i="47" s="1"/>
  <c r="H61" i="47"/>
  <c r="O61" i="47"/>
  <c r="P61" i="47" s="1"/>
  <c r="H60" i="47"/>
  <c r="O60" i="47"/>
  <c r="P60" i="47" s="1"/>
  <c r="H59" i="47"/>
  <c r="O59" i="47"/>
  <c r="P59" i="47" s="1"/>
  <c r="H58" i="47"/>
  <c r="O58" i="47"/>
  <c r="P58" i="47" s="1"/>
  <c r="H57" i="47"/>
  <c r="O57" i="47"/>
  <c r="H56" i="47"/>
  <c r="O56" i="47" s="1"/>
  <c r="P56" i="47" s="1"/>
  <c r="H55" i="47"/>
  <c r="O55" i="47" s="1"/>
  <c r="P55" i="47"/>
  <c r="H54" i="47"/>
  <c r="O54" i="47" s="1"/>
  <c r="P54" i="47"/>
  <c r="H53" i="47"/>
  <c r="O53" i="47"/>
  <c r="P53" i="47" s="1"/>
  <c r="H52" i="47"/>
  <c r="O52" i="47" s="1"/>
  <c r="H51" i="47"/>
  <c r="H50" i="47"/>
  <c r="O50" i="47" s="1"/>
  <c r="P50" i="47" s="1"/>
  <c r="H49" i="47"/>
  <c r="O49" i="47"/>
  <c r="P49" i="47" s="1"/>
  <c r="H48" i="47"/>
  <c r="O48" i="47" s="1"/>
  <c r="P48" i="47" s="1"/>
  <c r="H47" i="47"/>
  <c r="O47" i="47"/>
  <c r="P47" i="47" s="1"/>
  <c r="H46" i="47"/>
  <c r="O46" i="47" s="1"/>
  <c r="P46" i="47" s="1"/>
  <c r="H21" i="47"/>
  <c r="H189" i="47"/>
  <c r="H35" i="47"/>
  <c r="O35" i="47"/>
  <c r="P35" i="47" s="1"/>
  <c r="H34" i="47"/>
  <c r="O34" i="47" s="1"/>
  <c r="P34" i="47" s="1"/>
  <c r="F91" i="47"/>
  <c r="M91" i="47"/>
  <c r="N91" i="47" s="1"/>
  <c r="F20" i="47"/>
  <c r="F190" i="47" s="1"/>
  <c r="F15" i="47"/>
  <c r="M15" i="47" s="1"/>
  <c r="N15" i="47" s="1"/>
  <c r="F21" i="47"/>
  <c r="F189" i="47" s="1"/>
  <c r="F79" i="47"/>
  <c r="M79" i="47"/>
  <c r="N79" i="47" s="1"/>
  <c r="F35" i="47"/>
  <c r="M35" i="47" s="1"/>
  <c r="N35" i="47" s="1"/>
  <c r="F34" i="47"/>
  <c r="M34" i="47"/>
  <c r="N34" i="47" s="1"/>
  <c r="D38" i="47"/>
  <c r="K38" i="47" s="1"/>
  <c r="D91" i="47"/>
  <c r="K91" i="47" s="1"/>
  <c r="L91" i="47" s="1"/>
  <c r="D20" i="47"/>
  <c r="D190" i="47"/>
  <c r="D15" i="47"/>
  <c r="D14" i="47" s="1"/>
  <c r="D95" i="47" s="1"/>
  <c r="D171" i="47" s="1"/>
  <c r="D166" i="47"/>
  <c r="D98" i="47"/>
  <c r="D68" i="47"/>
  <c r="K68" i="47" s="1"/>
  <c r="L68" i="47" s="1"/>
  <c r="D39" i="47"/>
  <c r="K39" i="47"/>
  <c r="L39" i="47" s="1"/>
  <c r="D36" i="47"/>
  <c r="D198" i="47" s="1"/>
  <c r="D21" i="47"/>
  <c r="K21" i="47" s="1"/>
  <c r="L21" i="47" s="1"/>
  <c r="D79" i="47"/>
  <c r="K79" i="47"/>
  <c r="L79" i="47" s="1"/>
  <c r="D35" i="47"/>
  <c r="K35" i="47" s="1"/>
  <c r="L35" i="47" s="1"/>
  <c r="D34" i="47"/>
  <c r="K34" i="47"/>
  <c r="L34" i="47" s="1"/>
  <c r="H198" i="47"/>
  <c r="G198" i="47"/>
  <c r="F198" i="47"/>
  <c r="E198" i="47"/>
  <c r="I197" i="47"/>
  <c r="H197" i="47"/>
  <c r="G197" i="47"/>
  <c r="F197" i="47"/>
  <c r="E197" i="47"/>
  <c r="D197" i="47"/>
  <c r="I196" i="47"/>
  <c r="H196" i="47"/>
  <c r="G196" i="47"/>
  <c r="F196" i="47"/>
  <c r="E196" i="47"/>
  <c r="D196" i="47"/>
  <c r="I195" i="47"/>
  <c r="G195" i="47"/>
  <c r="E195" i="47"/>
  <c r="D195" i="47"/>
  <c r="I193" i="47"/>
  <c r="H193" i="47"/>
  <c r="G193" i="47"/>
  <c r="F193" i="47"/>
  <c r="E193" i="47"/>
  <c r="D193" i="47"/>
  <c r="I192" i="47"/>
  <c r="G192" i="47"/>
  <c r="F192" i="47"/>
  <c r="E192" i="47"/>
  <c r="I190" i="47"/>
  <c r="G190" i="47"/>
  <c r="E190" i="47"/>
  <c r="I189" i="47"/>
  <c r="G189" i="47"/>
  <c r="E189" i="47"/>
  <c r="D189" i="47"/>
  <c r="I187" i="47"/>
  <c r="H187" i="47"/>
  <c r="G187" i="47"/>
  <c r="F187" i="47"/>
  <c r="E187" i="47"/>
  <c r="D187" i="47"/>
  <c r="I186" i="47"/>
  <c r="H186" i="47"/>
  <c r="G186" i="47"/>
  <c r="F186" i="47"/>
  <c r="E186" i="47"/>
  <c r="D186" i="47"/>
  <c r="I185" i="47"/>
  <c r="H185" i="47"/>
  <c r="G185" i="47"/>
  <c r="F185" i="47"/>
  <c r="E185" i="47"/>
  <c r="D185" i="47"/>
  <c r="I183" i="47"/>
  <c r="H183" i="47"/>
  <c r="G183" i="47"/>
  <c r="F183" i="47"/>
  <c r="E183" i="47"/>
  <c r="D183" i="47"/>
  <c r="I182" i="47"/>
  <c r="H182" i="47"/>
  <c r="G182" i="47"/>
  <c r="F182" i="47"/>
  <c r="E182" i="47"/>
  <c r="I181" i="47"/>
  <c r="H181" i="47"/>
  <c r="G181" i="47"/>
  <c r="F181" i="47"/>
  <c r="E181" i="47"/>
  <c r="E200" i="47" s="1"/>
  <c r="D181" i="47"/>
  <c r="I179" i="47"/>
  <c r="I200" i="47"/>
  <c r="G179" i="47"/>
  <c r="G200" i="47"/>
  <c r="F179" i="47"/>
  <c r="F200" i="47" s="1"/>
  <c r="E179" i="47"/>
  <c r="I163" i="47"/>
  <c r="H163" i="47"/>
  <c r="G163" i="47"/>
  <c r="F163" i="47"/>
  <c r="E163" i="47"/>
  <c r="D163" i="47"/>
  <c r="I158" i="47"/>
  <c r="H158" i="47"/>
  <c r="G158" i="47"/>
  <c r="F158" i="47"/>
  <c r="E158" i="47"/>
  <c r="D158" i="47"/>
  <c r="I154" i="47"/>
  <c r="H154" i="47"/>
  <c r="G154" i="47"/>
  <c r="F154" i="47"/>
  <c r="E154" i="47"/>
  <c r="D154" i="47"/>
  <c r="I149" i="47"/>
  <c r="H149" i="47"/>
  <c r="G149" i="47"/>
  <c r="F149" i="47"/>
  <c r="E149" i="47"/>
  <c r="D149" i="47"/>
  <c r="I145" i="47"/>
  <c r="H145" i="47"/>
  <c r="G145" i="47"/>
  <c r="F145" i="47"/>
  <c r="E145" i="47"/>
  <c r="D145" i="47"/>
  <c r="D141" i="47"/>
  <c r="D182" i="47"/>
  <c r="I139" i="47"/>
  <c r="H139" i="47"/>
  <c r="G139" i="47"/>
  <c r="F139" i="47"/>
  <c r="E139" i="47"/>
  <c r="D139" i="47"/>
  <c r="I132" i="47"/>
  <c r="H132" i="47"/>
  <c r="G132" i="47"/>
  <c r="F132" i="47"/>
  <c r="E132" i="47"/>
  <c r="D132" i="47"/>
  <c r="I128" i="47"/>
  <c r="H128" i="47"/>
  <c r="G128" i="47"/>
  <c r="F128" i="47"/>
  <c r="E128" i="47"/>
  <c r="D128" i="47"/>
  <c r="I119" i="47"/>
  <c r="H119" i="47"/>
  <c r="G119" i="47"/>
  <c r="F119" i="47"/>
  <c r="D119" i="47"/>
  <c r="I114" i="47"/>
  <c r="H114" i="47"/>
  <c r="G114" i="47"/>
  <c r="E114" i="47"/>
  <c r="D114" i="47"/>
  <c r="I104" i="47"/>
  <c r="H104" i="47"/>
  <c r="G104" i="47"/>
  <c r="F104" i="47"/>
  <c r="E104" i="47"/>
  <c r="D104" i="47"/>
  <c r="I97" i="47"/>
  <c r="I169" i="47"/>
  <c r="H97" i="47"/>
  <c r="H169" i="47" s="1"/>
  <c r="G97" i="47"/>
  <c r="F97" i="47"/>
  <c r="E97" i="47"/>
  <c r="D97" i="47"/>
  <c r="D169" i="47"/>
  <c r="I90" i="47"/>
  <c r="H90" i="47"/>
  <c r="G90" i="47"/>
  <c r="F90" i="47"/>
  <c r="E90" i="47"/>
  <c r="I86" i="47"/>
  <c r="H86" i="47"/>
  <c r="G86" i="47"/>
  <c r="F86" i="47"/>
  <c r="E86" i="47"/>
  <c r="D86" i="47"/>
  <c r="I75" i="47"/>
  <c r="I95" i="47" s="1"/>
  <c r="I171" i="47" s="1"/>
  <c r="I201" i="47" s="1"/>
  <c r="H75" i="47"/>
  <c r="G75" i="47"/>
  <c r="E75" i="47"/>
  <c r="D75" i="47"/>
  <c r="G33" i="47"/>
  <c r="F33" i="47"/>
  <c r="I14" i="47"/>
  <c r="G14" i="47"/>
  <c r="F14" i="47"/>
  <c r="E14" i="47"/>
  <c r="E30" i="46"/>
  <c r="E25" i="46" s="1"/>
  <c r="E83" i="46" s="1"/>
  <c r="E158" i="46" s="1"/>
  <c r="E188" i="46" s="1"/>
  <c r="D107" i="46"/>
  <c r="E19" i="46"/>
  <c r="E14" i="46"/>
  <c r="D25" i="46"/>
  <c r="D19" i="46"/>
  <c r="I185" i="46"/>
  <c r="H185" i="46"/>
  <c r="I184" i="46"/>
  <c r="G184" i="46"/>
  <c r="I183" i="46"/>
  <c r="H183" i="46"/>
  <c r="G183" i="46"/>
  <c r="F183" i="46"/>
  <c r="E183" i="46"/>
  <c r="I182" i="46"/>
  <c r="G182" i="46"/>
  <c r="E182" i="46"/>
  <c r="I180" i="46"/>
  <c r="H180" i="46"/>
  <c r="G180" i="46"/>
  <c r="F180" i="46"/>
  <c r="D180" i="46"/>
  <c r="H177" i="46"/>
  <c r="F177" i="46"/>
  <c r="E177" i="46"/>
  <c r="D177" i="46"/>
  <c r="I174" i="46"/>
  <c r="H174" i="46"/>
  <c r="G174" i="46"/>
  <c r="F174" i="46"/>
  <c r="I173" i="46"/>
  <c r="G173" i="46"/>
  <c r="E173" i="46"/>
  <c r="I172" i="46"/>
  <c r="H172" i="46"/>
  <c r="G172" i="46"/>
  <c r="F172" i="46"/>
  <c r="I170" i="46"/>
  <c r="H170" i="46"/>
  <c r="G170" i="46"/>
  <c r="F170" i="46"/>
  <c r="E170" i="46"/>
  <c r="E187" i="46" s="1"/>
  <c r="D170" i="46"/>
  <c r="I169" i="46"/>
  <c r="G169" i="46"/>
  <c r="F169" i="46"/>
  <c r="E169" i="46"/>
  <c r="I168" i="46"/>
  <c r="G168" i="46"/>
  <c r="E168" i="46"/>
  <c r="I166" i="46"/>
  <c r="G166" i="46"/>
  <c r="I150" i="46"/>
  <c r="H150" i="46"/>
  <c r="G150" i="46"/>
  <c r="F150" i="46"/>
  <c r="E150" i="46"/>
  <c r="D150" i="46"/>
  <c r="H169" i="46"/>
  <c r="I145" i="46"/>
  <c r="H145" i="46"/>
  <c r="G145" i="46"/>
  <c r="F145" i="46"/>
  <c r="E145" i="46"/>
  <c r="D145" i="46"/>
  <c r="I141" i="46"/>
  <c r="H141" i="46"/>
  <c r="G141" i="46"/>
  <c r="F141" i="46"/>
  <c r="E141" i="46"/>
  <c r="D141" i="46"/>
  <c r="I136" i="46"/>
  <c r="H136" i="46"/>
  <c r="G136" i="46"/>
  <c r="F136" i="46"/>
  <c r="E136" i="46"/>
  <c r="D136" i="46"/>
  <c r="I132" i="46"/>
  <c r="H132" i="46"/>
  <c r="G132" i="46"/>
  <c r="F132" i="46"/>
  <c r="E132" i="46"/>
  <c r="D132" i="46"/>
  <c r="D128" i="46"/>
  <c r="D169" i="46"/>
  <c r="I126" i="46"/>
  <c r="H126" i="46"/>
  <c r="G126" i="46"/>
  <c r="F126" i="46"/>
  <c r="E126" i="46"/>
  <c r="D126" i="46"/>
  <c r="I119" i="46"/>
  <c r="H119" i="46"/>
  <c r="G119" i="46"/>
  <c r="F119" i="46"/>
  <c r="E119" i="46"/>
  <c r="D119" i="46"/>
  <c r="D156" i="46" s="1"/>
  <c r="I115" i="46"/>
  <c r="H115" i="46"/>
  <c r="G115" i="46"/>
  <c r="F115" i="46"/>
  <c r="E115" i="46"/>
  <c r="D115" i="46"/>
  <c r="H168" i="46"/>
  <c r="F107" i="46"/>
  <c r="D168" i="46"/>
  <c r="D183" i="46"/>
  <c r="I107" i="46"/>
  <c r="H107" i="46"/>
  <c r="H156" i="46" s="1"/>
  <c r="G107" i="46"/>
  <c r="E107" i="46"/>
  <c r="I102" i="46"/>
  <c r="I156" i="46" s="1"/>
  <c r="H102" i="46"/>
  <c r="G102" i="46"/>
  <c r="G156" i="46" s="1"/>
  <c r="E102" i="46"/>
  <c r="D102" i="46"/>
  <c r="I92" i="46"/>
  <c r="H92" i="46"/>
  <c r="G92" i="46"/>
  <c r="F92" i="46"/>
  <c r="E92" i="46"/>
  <c r="D92" i="46"/>
  <c r="I85" i="46"/>
  <c r="H85" i="46"/>
  <c r="G85" i="46"/>
  <c r="F85" i="46"/>
  <c r="E85" i="46"/>
  <c r="D85" i="46"/>
  <c r="E180" i="46"/>
  <c r="I179" i="46"/>
  <c r="H179" i="46"/>
  <c r="G179" i="46"/>
  <c r="F179" i="46"/>
  <c r="E179" i="46"/>
  <c r="D78" i="46"/>
  <c r="I78" i="46"/>
  <c r="G78" i="46"/>
  <c r="E78" i="46"/>
  <c r="I74" i="46"/>
  <c r="H74" i="46"/>
  <c r="G74" i="46"/>
  <c r="F74" i="46"/>
  <c r="E74" i="46"/>
  <c r="D74" i="46"/>
  <c r="E172" i="46"/>
  <c r="D172" i="46"/>
  <c r="H173" i="46"/>
  <c r="F173" i="46"/>
  <c r="D173" i="46"/>
  <c r="E63" i="46"/>
  <c r="E174" i="46"/>
  <c r="D174" i="46"/>
  <c r="I63" i="46"/>
  <c r="H63" i="46"/>
  <c r="G63" i="46"/>
  <c r="F63" i="46"/>
  <c r="E184" i="46"/>
  <c r="G185" i="46"/>
  <c r="F185" i="46"/>
  <c r="D185" i="46"/>
  <c r="H184" i="46"/>
  <c r="F184" i="46"/>
  <c r="D184" i="46"/>
  <c r="H182" i="46"/>
  <c r="F182" i="46"/>
  <c r="I25" i="46"/>
  <c r="H25" i="46"/>
  <c r="I176" i="46"/>
  <c r="H176" i="46"/>
  <c r="G19" i="46"/>
  <c r="F19" i="46"/>
  <c r="D176" i="46"/>
  <c r="I177" i="46"/>
  <c r="G177" i="46"/>
  <c r="H19" i="46"/>
  <c r="H166" i="46"/>
  <c r="F166" i="46"/>
  <c r="F187" i="46" s="1"/>
  <c r="E166" i="46"/>
  <c r="D14" i="46"/>
  <c r="D83" i="46" s="1"/>
  <c r="I14" i="46"/>
  <c r="G14" i="46"/>
  <c r="E176" i="46"/>
  <c r="H78" i="46"/>
  <c r="H14" i="46"/>
  <c r="H83" i="46" s="1"/>
  <c r="F25" i="46"/>
  <c r="F168" i="46"/>
  <c r="F176" i="46"/>
  <c r="G25" i="46"/>
  <c r="G83" i="46" s="1"/>
  <c r="G176" i="46"/>
  <c r="G187" i="46"/>
  <c r="R20" i="46"/>
  <c r="D179" i="46"/>
  <c r="F14" i="46"/>
  <c r="F83" i="46" s="1"/>
  <c r="F158" i="46" s="1"/>
  <c r="F188" i="46" s="1"/>
  <c r="I19" i="46"/>
  <c r="Q20" i="46"/>
  <c r="D182" i="46"/>
  <c r="D63" i="46"/>
  <c r="F78" i="46"/>
  <c r="D166" i="46"/>
  <c r="D187" i="46" s="1"/>
  <c r="F156" i="46"/>
  <c r="E156" i="46"/>
  <c r="I83" i="46"/>
  <c r="I158" i="46" s="1"/>
  <c r="I188" i="46" s="1"/>
  <c r="H187" i="46"/>
  <c r="I187" i="46"/>
  <c r="H14" i="47"/>
  <c r="H33" i="47"/>
  <c r="N29" i="47"/>
  <c r="E169" i="47"/>
  <c r="F169" i="47"/>
  <c r="F75" i="47"/>
  <c r="H195" i="47"/>
  <c r="G169" i="47"/>
  <c r="H179" i="47"/>
  <c r="H200" i="47" s="1"/>
  <c r="L24" i="47"/>
  <c r="M21" i="47"/>
  <c r="N21" i="47" s="1"/>
  <c r="F19" i="47"/>
  <c r="F95" i="47"/>
  <c r="F171" i="47" s="1"/>
  <c r="O91" i="47"/>
  <c r="P91" i="47" s="1"/>
  <c r="H19" i="47"/>
  <c r="H95" i="47"/>
  <c r="H171" i="47" s="1"/>
  <c r="D90" i="47"/>
  <c r="H190" i="47"/>
  <c r="K20" i="47"/>
  <c r="L20" i="47"/>
  <c r="O21" i="47"/>
  <c r="P21" i="47" s="1"/>
  <c r="P30" i="47"/>
  <c r="O51" i="47"/>
  <c r="P51" i="47" s="1"/>
  <c r="D33" i="47"/>
  <c r="M20" i="47"/>
  <c r="N20" i="47" s="1"/>
  <c r="P57" i="47"/>
  <c r="D192" i="47"/>
  <c r="D19" i="47"/>
  <c r="K36" i="47"/>
  <c r="L36" i="47" s="1"/>
  <c r="I33" i="47"/>
  <c r="G19" i="47"/>
  <c r="G95" i="47" s="1"/>
  <c r="G171" i="47" s="1"/>
  <c r="G201" i="47" s="1"/>
  <c r="E33" i="47"/>
  <c r="E95" i="47" s="1"/>
  <c r="E171" i="47" s="1"/>
  <c r="O19" i="48"/>
  <c r="H18" i="48" l="1"/>
  <c r="K100" i="48"/>
  <c r="L100" i="48" s="1"/>
  <c r="I184" i="48"/>
  <c r="L42" i="48"/>
  <c r="H99" i="48"/>
  <c r="D151" i="48"/>
  <c r="D107" i="48"/>
  <c r="G184" i="48"/>
  <c r="P30" i="48"/>
  <c r="P19" i="48"/>
  <c r="M38" i="48"/>
  <c r="N38" i="48" s="1"/>
  <c r="I37" i="48"/>
  <c r="F184" i="48"/>
  <c r="H14" i="48"/>
  <c r="D84" i="48"/>
  <c r="I18" i="48"/>
  <c r="F37" i="48"/>
  <c r="N29" i="48"/>
  <c r="O15" i="48"/>
  <c r="P15" i="48" s="1"/>
  <c r="P61" i="48"/>
  <c r="H184" i="48"/>
  <c r="F18" i="48"/>
  <c r="M100" i="48"/>
  <c r="N100" i="48" s="1"/>
  <c r="D18" i="48"/>
  <c r="P42" i="48"/>
  <c r="M19" i="48"/>
  <c r="N19" i="48" s="1"/>
  <c r="H37" i="48"/>
  <c r="G18" i="48"/>
  <c r="G105" i="48" s="1"/>
  <c r="K38" i="48"/>
  <c r="L38" i="48" s="1"/>
  <c r="E184" i="48"/>
  <c r="F208" i="47"/>
  <c r="F201" i="47"/>
  <c r="D158" i="46"/>
  <c r="D188" i="46" s="1"/>
  <c r="H201" i="47"/>
  <c r="H208" i="47"/>
  <c r="H158" i="46"/>
  <c r="H188" i="46" s="1"/>
  <c r="E201" i="47"/>
  <c r="G158" i="46"/>
  <c r="G188" i="46" s="1"/>
  <c r="D208" i="47"/>
  <c r="F195" i="47"/>
  <c r="K15" i="47"/>
  <c r="L15" i="47" s="1"/>
  <c r="L38" i="47"/>
  <c r="P59" i="48"/>
  <c r="E185" i="46"/>
  <c r="D179" i="47"/>
  <c r="D200" i="47" s="1"/>
  <c r="D201" i="47" s="1"/>
  <c r="F14" i="48"/>
  <c r="K20" i="48"/>
  <c r="L20" i="48" s="1"/>
  <c r="M88" i="48"/>
  <c r="N88" i="48" s="1"/>
  <c r="L23" i="48"/>
  <c r="D37" i="48"/>
  <c r="F99" i="48"/>
  <c r="E37" i="48"/>
  <c r="E105" i="48" s="1"/>
  <c r="D184" i="48" l="1"/>
  <c r="G186" i="48"/>
  <c r="H105" i="48"/>
  <c r="H186" i="48" s="1"/>
  <c r="I105" i="48"/>
  <c r="I186" i="48" s="1"/>
  <c r="E186" i="48"/>
  <c r="D105" i="48"/>
  <c r="F105" i="48"/>
  <c r="F186" i="48" s="1"/>
  <c r="D186" i="48" l="1"/>
  <c r="D196" i="48" s="1"/>
  <c r="H196" i="48"/>
  <c r="F196" i="48"/>
</calcChain>
</file>

<file path=xl/sharedStrings.xml><?xml version="1.0" encoding="utf-8"?>
<sst xmlns="http://schemas.openxmlformats.org/spreadsheetml/2006/main" count="822" uniqueCount="160">
  <si>
    <t xml:space="preserve">к решению Собрания депутатов Октябрьского </t>
  </si>
  <si>
    <t>(тыс. рублей)</t>
  </si>
  <si>
    <t>Наименование</t>
  </si>
  <si>
    <t>2023 год</t>
  </si>
  <si>
    <t>Средства федерального и областного бюджетов</t>
  </si>
  <si>
    <t>Средства бюджета Октябрьского района</t>
  </si>
  <si>
    <t>Муниципальный район, как район</t>
  </si>
  <si>
    <t>Администрация Октябрьского района Ростовской области</t>
  </si>
  <si>
    <t>Обеспечение жильем молодых семей</t>
  </si>
  <si>
    <t>Отдел образования Администрации Октябрьского района</t>
  </si>
  <si>
    <t>Организация отдыха детей в каникулярное время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</si>
  <si>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</si>
  <si>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Комитет управления муниципальным имуществом Администрации Октябрьского района</t>
  </si>
  <si>
    <t>Реализация принципа экстерриториальности при предоставлении государственных и муниципальных услуг</t>
  </si>
  <si>
    <t>Организация предоставления областных услуг на базе многофункциональных центров предоставления государственных и муниципальных услуг</t>
  </si>
  <si>
    <t>Возмещение предприятиям жилищно-коммунального хозяйства части платы граждан за коммунальные услуги</t>
  </si>
  <si>
    <t>Отдел культуры, физической культуры, спорта и туризма Администрации Октябрьского района Ростовской области</t>
  </si>
  <si>
    <t>Комплектование книжных фондов библиотек муниципальных образований</t>
  </si>
  <si>
    <t>Софинансирование муниципальных программ по работе с молодежью</t>
  </si>
  <si>
    <t>финансово - экономическое управление Администрации Октябрьского района Ростовской области</t>
  </si>
  <si>
    <t>Управление социальной защиты населения Администрации Октябрьского района Ростовской области</t>
  </si>
  <si>
    <t>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</si>
  <si>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>Субсидия на приобретение компьютерной техники органам социальной защиты населения муниципальных районов и городских округов</t>
  </si>
  <si>
    <t>Итого по муниципальному району</t>
  </si>
  <si>
    <t>Алексеевское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</si>
  <si>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парка по адресу: Ростовская область, Октябрьский район, с. Алексеевка 2- я очередь)</t>
  </si>
  <si>
    <t>Артемовское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</si>
  <si>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(Благоустройство территории Артемовское сельского поселения, х. Киреевка Октябрьский район)</t>
  </si>
  <si>
    <t>Бессергеневское сельское поселение</t>
  </si>
  <si>
    <t>Каменоломненское городское поселение</t>
  </si>
  <si>
    <t>Керчикское сельское поселение</t>
  </si>
  <si>
    <t>Коммунарское сельское поселение</t>
  </si>
  <si>
    <t>Красюковское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</si>
  <si>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парковой зоны по адресу: Ростовская область, Октябрьский район, х. Яново-Грушевский)</t>
  </si>
  <si>
    <t>Краснолучское сельское поселение</t>
  </si>
  <si>
    <t>Краснокутское сельское поселение</t>
  </si>
  <si>
    <t>Кривянское сельское поселение</t>
  </si>
  <si>
    <t>Мокрологское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</si>
  <si>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(Благоустройство площади Мокрологского сельского поселения х. Маркин Октябрьский район)</t>
  </si>
  <si>
    <t>Персиановское сельское поселение</t>
  </si>
  <si>
    <t>Субсидия на обеспечение устойчивого развития сельских территорий на реализацию общественно значимых проектов по благоустройству сельских территорий (Обустройство парковой зоны возле центра культурного развития по адресу: Ростовская область, Октябрьский район, п. Персиановский)</t>
  </si>
  <si>
    <t>Итого по поселениям:</t>
  </si>
  <si>
    <t>Всего</t>
  </si>
  <si>
    <t>Заместитель главы Администрации Октябрьского района-начальник  ФЭУ</t>
  </si>
  <si>
    <t>Т. В. Юшковская</t>
  </si>
  <si>
    <t>Реализация программ формирования современной городской среды (Общественная территория, расположенная по адресу: Ростовская обл., Октябрьский р-н, Красюковское с/п, п. Новоперсиановка, ул. Советская, 8 (благоустройство))</t>
  </si>
  <si>
    <t>2024 год</t>
  </si>
  <si>
    <t>Софинансирование расходов на приобретение КИБО</t>
  </si>
  <si>
    <t>10 04</t>
  </si>
  <si>
    <t>07 07</t>
  </si>
  <si>
    <t>07 02</t>
  </si>
  <si>
    <t>01 13</t>
  </si>
  <si>
    <t>09 00</t>
  </si>
  <si>
    <t>05 02</t>
  </si>
  <si>
    <t>04 09</t>
  </si>
  <si>
    <t>08 01</t>
  </si>
  <si>
    <t>07 03</t>
  </si>
  <si>
    <t>09 09</t>
  </si>
  <si>
    <t>10 06</t>
  </si>
  <si>
    <t>05 03</t>
  </si>
  <si>
    <t>Капитальный ремонт сетей самотечной системы водоотведения от ул. Шоссейной до здания КНС пер. Аптечный, 1 а ст. Заплавской Октябрьского района</t>
  </si>
  <si>
    <t xml:space="preserve">Трактор «Беларус 82.1» МТЗ (или эквивалент) с навесным оборудованием: - ПКУ 0,8 погрузчик; -Ковш челюстной 2 м ПКУ-0,8-21- 01; -Коммунальный отвал 2,5 м с гидравлическим поворотом КО-2; - Щетка МК-4.1 шириной 2 м . </t>
  </si>
  <si>
    <t>Благоустройство сквера по ул.  Ленина в х. Киреевка Октябрьского района  (2-ой этап)</t>
  </si>
  <si>
    <t>Субсидия на возмещение предприятиям жилищно-коммунального хозяйства части платы граждан за коммунальные услуги (Персиановское сельское поселение)</t>
  </si>
  <si>
    <t>Государственная поддержка отрасли культуры (комплектование книжных фондов библиотек муниципальных образований)</t>
  </si>
  <si>
    <t>Ремонт автодороги по ул. Ленина п. Верхнегрушевский Коммунарского сельского поселения</t>
  </si>
  <si>
    <t>Благоустройство сквера по ул. Транспортная х.Маркин Мокрологского сельского поселения</t>
  </si>
  <si>
    <t>годов" от __.__.2022 №___</t>
  </si>
  <si>
    <t>Организация подвоза обучающихся и аренду плавательных бассейнов для обучения плаванию обучающихся муниципальных общеобразовательных организаций в рамках реализации внеурочной деятельности спортивно-оздоровительного направления основной образовательной программы начального общего образования</t>
  </si>
  <si>
    <t xml:space="preserve"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</t>
  </si>
  <si>
    <t>Благоустройство сквера по ул.  Ленина в х. Киреевка Октябрьского района Ростовской области ( монтаж ограждения и освещения)</t>
  </si>
  <si>
    <t>Ремонт дороги в п. Каменоломни пер. Садовый</t>
  </si>
  <si>
    <t>Ремонт дороги в п. Каменоломни пер. Пятый</t>
  </si>
  <si>
    <t xml:space="preserve">района "О бюджете Октябрьского района на 2023 год </t>
  </si>
  <si>
    <t>и на плановый период 2024 и 2025</t>
  </si>
  <si>
    <t>2025 год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</si>
  <si>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 на 2023 год и на плановый период 2024 и 2025 годов</t>
  </si>
  <si>
    <t>Приобретение компьютерного оборудования для Межпоселенческой центральной библиотеки Октябрьского района Ростовской области</t>
  </si>
  <si>
    <t>Капитальный ремонт сетей водоснабжения по ул. Виноградной, ул. Клубной ст. Заплавской Октябрьского района. Расходы на обеспечение комплексного развития сельских территорий</t>
  </si>
  <si>
    <t>Ремонт дороги "Подъезд от а/д г.Шахты-ст.Раздорская а/д г.Шахты-г.Цимлянск к п.Нижнедонской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</si>
  <si>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</si>
  <si>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>Субсидия на проведение комплексных кадастровых работ</t>
  </si>
  <si>
    <t>Благоустройство общественной территории по адресу: улица Заречная х.Ильичевка Ростовской области</t>
  </si>
  <si>
    <t>Ремонт автодороги по ул. Райниса п. Качкан Артемовского сельского поселения</t>
  </si>
  <si>
    <t>Ремонт автодороги по ул. Западная п. Новокадамово Артемовского сельского поселения</t>
  </si>
  <si>
    <t>Ремонт автодороги по ул. Школьная п. Залужный Керчикского сельского поселения</t>
  </si>
  <si>
    <t>Ремонт автодороги по ул. Ленина п. Нижнедонской, Краснолучского сельского поселения</t>
  </si>
  <si>
    <t>Ремонт автодороги по ул. Школьная х. Маркин Мокрологского сельского поселения</t>
  </si>
  <si>
    <t>Ремонт автомобильной дороги общего пользования местного значения "Подъезд от а/д "г. Новочеркасск (Хотунок)-п.Багаевский" к х. Калинин</t>
  </si>
  <si>
    <t>Ремонт автомобильной дороги по ул. Средняя с. Алексеевка Октябрьского района Ростовской области</t>
  </si>
  <si>
    <t>Ремонт автомобильной дороги по ул. Кирпичный завод в х.Ильичевка Октябрьского района Ростовской области</t>
  </si>
  <si>
    <t>Ремонт дороги по ул. Комсомольская, х.Киреевка Артемовского сельского поселения Октябрьского района Ростовской области</t>
  </si>
  <si>
    <t>Ремонт дороги по ул. Гагарина, п. Новокадамово Артемовского сельского поселения Октябрьского района Ростовской области</t>
  </si>
  <si>
    <t>Ремонт дороги по ул. Северная, п. Новокадамово Артемовского сельского поселения Октябрьского района Ростовской области</t>
  </si>
  <si>
    <t>Ремонт автомобильной дороги по ул. Семисохина в ст. Бессергеневская Октябрьского района Ростовской области</t>
  </si>
  <si>
    <t>Ремонт автомобильной дороги по ул.2-я Аксайская в ст.Бессергеневская Октябрьского района Ростовской области</t>
  </si>
  <si>
    <t>Ремонт дороги по пер.Коминтерна, х.Керчик-Савров Октябрьского района Ростовской области</t>
  </si>
  <si>
    <t>Ремонт а/д по ул.Московская х.Привольный Коммунарского с.п. Октябрьского района Ростовской области</t>
  </si>
  <si>
    <t>Ремонт а/д по ул.Гагарина п.Верхнегрушевский Коммунарского с.п. Октябрьского района Ростовской области</t>
  </si>
  <si>
    <t>Ремонт автодороги по ул.Советская в сл.Красюковская, Октябрьского района, Ростовской области</t>
  </si>
  <si>
    <t>Ремонт автодороги по ул.Калинина в х.Красный Кут Октябрьского района Ростовской области</t>
  </si>
  <si>
    <t>Ремонт автодороги по пер.Центральный, п.Нижнедонской Октябрьского района Ростовской области</t>
  </si>
  <si>
    <t>Ремонт автодороги по ул.Садовая, п.Нижнедонской Октябрьского района Ростовской области</t>
  </si>
  <si>
    <t>Ремонт автодороги по ул.Юбилейная, п.Нижнедонской Октябрьского района Ростовской области</t>
  </si>
  <si>
    <t>Ремонт автомобильной дороги по ул.40 лет Победы в ст.Кривянская Октябрьского района Ростовской области</t>
  </si>
  <si>
    <t>Ремонт дороги по ул.Заречная, х.Маркин Октябрьского района Ростовской области</t>
  </si>
  <si>
    <t>Ремонт автомобильной дороги по ул. Мира п.Персиановский Октябрьского района Ростовской области</t>
  </si>
  <si>
    <t xml:space="preserve">Ремонт автодороги и тротуара по пер.Садовый  в р.п.Каменоломни, Октябрьского района, Ростовской области </t>
  </si>
  <si>
    <t>Ремонт автодороги по ул.Пролетарская от пер. Узкий до пер. Первомайский   в р.п.Каменоломни Октябрьского района Ростовской области</t>
  </si>
  <si>
    <t>Ремонт автодороги и тротуара по пер. Клубный в р.п.Каменоломни Октябрьского района Ростовской области</t>
  </si>
  <si>
    <t>Приложение 11</t>
  </si>
  <si>
    <t>Оснащение РДК п.Каменоломни Октябрьского района</t>
  </si>
  <si>
    <t>Техническое оснащение региональных и муниципальных музеев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</si>
  <si>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</si>
  <si>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МБОУ лицей № 82 им.А.Н. Знаменского по адресу: Ростовская область, Октябрьский район, р.п. Каменоломни, ул.Крупской 39,41</t>
  </si>
  <si>
    <t>Оснащение дошкольной образовательной организации на 120 мест Октябрьского района, Красюковского с/п</t>
  </si>
  <si>
    <t>Оснащение МБОУ гимназия №20 им.С.С. Станчева</t>
  </si>
  <si>
    <t>Строительство бассейна в п.Персиановский</t>
  </si>
  <si>
    <t>Приобретение водонапорной башни "Рожновского" в п.Новоперсиановка</t>
  </si>
  <si>
    <t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(р.п.Каменоломни, пер.Узкий, д.41)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</si>
  <si>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(п.Персиановский, ул.Кривошлыкова, д.9-а)</t>
  </si>
  <si>
    <t>Капитальный ремонт здания муниципального бюджетного общеобразовательного учреждения средней общеобразовательной школы №43, расположенного в х.Ильичевка по ул.Заречная,46 Октябрьского района Ростовской области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</si>
  <si>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</si>
  <si>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Реализация мероприятий по модернизации школьных систем образования</t>
  </si>
  <si>
    <t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(р.п.Каменоломни, пер. Шоссейный, д.15)</t>
  </si>
  <si>
    <t>Оснащение МБОУ лицей № 82 им.А.Н. Знаменского по адресу: Ростовская область, Октябрьский район, р.п. Каменоломни, ул.Крупской 39,42</t>
  </si>
  <si>
    <t>Разработка и прохождение экспертизы сметной стоимости проектных и изыскательских работ по объекту: "Рекультивация нарушенных земель-кадастровый номер 61:28:009106:2, расположенных по адресу: Ростовская область, Октябрьский район, х.Заречный, автодорога "Дон-4-Каменоломни"</t>
  </si>
  <si>
    <t>Субсидия на обеспечение первичных мер пожарной безопасности на территории поселений</t>
  </si>
  <si>
    <t>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Коммунарского сельского поселения (п.Красногорняцкий, ул.Центральная, д.7)</t>
  </si>
  <si>
    <t>Ремонт автомобильной дороги и тротуара по ул.Энгельса в р.п.Каменоломни Октябрьского района Ростовской области</t>
  </si>
  <si>
    <t>Капитальный ремонт административно-бытового здания управления социальной защиты населения Администрации Октябрьского района</t>
  </si>
  <si>
    <t>Обустройство многофункциональной спортивной площадки расположенной по адресу: Ростовская область, Октябрьский район, с.Алексеевка, ул.Бондаревского</t>
  </si>
  <si>
    <t>Ремонт автомобильной дороги "Подъезд от а/д г.Шахты-Наклонная" к п.Атюхта</t>
  </si>
  <si>
    <t>Благоустройство площади по адресу: Россия, Ростовская область, р-н Октябрьский, Красюковское сельское поселение сл.Красюковская, ул.Советская, 24а</t>
  </si>
  <si>
    <t>Строительство дошкольной образовательной организации на 120 мест Октябрьского района, Красюковское с/п</t>
  </si>
  <si>
    <t>Устройство пешеходной дорожки в парковой зоне п.Новозарянский Октябрьского района Ростовской области на земельном участке с кадастровым номером: 61:28:0100101:357/3</t>
  </si>
  <si>
    <t>Капитальный ремонт уличного освещения от КТП № 287 по адресу: Ростовская область, Октябрьский район, ст.Заплавская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</si>
  <si>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</si>
  <si>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(п.Новоперсиановка, ул.Комсомольская, д.4 и 6)</t>
  </si>
  <si>
    <t>Приобретение специализированной коммунальной техники для нужд Каменоломненского городского поселения (5 единиц)</t>
  </si>
  <si>
    <t>Выборочный капитальный ремонт МБОУ СОШ №73 по адресу: Ростовская область, Октябрьский район, ст. Кривянская, ул. Кирпичная, 1 (устройство вентилируемого фасада, входных групп, водосточной системы кровли)</t>
  </si>
  <si>
    <t>Приобретение блочно-модульной станции с установкой и выполнением пусконаладочных работ в хуторе Маркин</t>
  </si>
  <si>
    <t>Разработка проектно-сметной документации по объекту: «Строительство общеобразовательной организации на 600 мест расположенной по адресу: Ростовская область, Октябрьский район, р.п. Каменоломни, ул. Свердлова, 127»</t>
  </si>
  <si>
    <t>Изготовление проектной документации по объекту: «Капитальный ремонт здания АНО «НЦ «Плавание для всех», расположенного по адресу: Ростовская область, Октябрьский район, р.п. Каменоломни, ул. Энгельса, д.47В»</t>
  </si>
  <si>
    <t>Выборочный капитальный ремонт МДБОУ № 31 «Золотая рыбка», расположенной по адресу: Ростовская область, Октябрьский район, ст. Кривянская, ул. Мостовая, 3А. (замена кровли и водосточной системы)</t>
  </si>
  <si>
    <t>Приобретение котла наружного размещения для МБОУ СОШ № 52, расположенной по адресу: Ростовская область, Октябрьский район, ст. Заплавская, ул. Школьная, 37</t>
  </si>
  <si>
    <t>Приложение 7</t>
  </si>
  <si>
    <t>годов" от __.__.2023 №___</t>
  </si>
  <si>
    <t xml:space="preserve">Выборочный капитальный ремонт МБОУ СОШ №77 им. С.И. Петрушко по адресу: Ростовская область, Октябрьский район, п. Казачьи Лагери, ул. Петрушко, 1 </t>
  </si>
  <si>
    <t>Мероприятия по обновлению пассажирского транспорта. Приобретение 7 (семи) единиц техники (автобусов)</t>
  </si>
  <si>
    <t>Капитальный ремонт комплекса сооружений по приемке и очистке подземных вод шахты им.Кирова по адресу: Ростовская область, Октябрьский район, х. Новогригорьевка, ул.Садовая,72</t>
  </si>
  <si>
    <t>Капитальный ремонт комплекса сооружений по приемке и очистке дополнительного притока шахтных вод шахты им. С.М. Кирова (б. Цурюпа) по адресу: Ростовская область, Октябрьский район, Краснокутское сельское поселение</t>
  </si>
  <si>
    <t>Капитальный ремонт кровли здания МБОУ ООШ №19 по адресу:  346473, Ростовская область, Октябрьский район, поселок Интернациональный, ул. Восточная, 62»</t>
  </si>
  <si>
    <t xml:space="preserve">Благоустройство территории МБДОУ №30 "Зоренька", расположенного по адресу: Ростовская область, Октябрьский район, р.п. Каменоломни, пер. Народный, 1 </t>
  </si>
  <si>
    <t>Выборочный капитальный ремонт МБДОУ д/с №31 "Золотая рыбка" по адресу: 346466, Ростовская область, Октябрьский район, ст. Кривянская, ул. Мостовая, 3А (замена кровли и водосточной системы)</t>
  </si>
  <si>
    <t xml:space="preserve">Текущий ремонт МБДОУ д/с №9 "Малютка", расположенного по адресу: Ростовская обл., Октябрьский р-н, х. Маркин, ул. Степная, 35 </t>
  </si>
  <si>
    <t>годов" от 14.07.2023 №110</t>
  </si>
  <si>
    <t>Приобретение подвижного состава пассажирского транспорта общего пользования. Приобретение 7 (семи) единиц техники (автобусов)</t>
  </si>
  <si>
    <t>Капитальный ремонт кровли здания муниципального бюджетного дошкольного образовательного учреждения детский сад № 25, расположенный по адресу: Ростовская область, Октябрьский район, х. Керчик - Савров, ул. Буденного, 1</t>
  </si>
  <si>
    <t>годов" от 12.10.2023 №120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</si>
</sst>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-* #,##0.0_р_._-;\-* #,##0.0_р_._-;_-* &quot;-&quot;??_р_._-;_-@_-"/>
    <numFmt numFmtId="168" formatCode="_-* #,##0.00000_р_._-;\-* #,##0.00000_р_._-;_-* &quot;-&quot;?????_р_._-;_-@_-"/>
    <numFmt numFmtId="169" formatCode="_-* #,##0.000_р_._-;\-* #,##0.000_р_._-;_-* &quot;-&quot;??_р_._-;_-@_-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[&lt;=9999999]#&quot;-&quot;####;&quot;(&quot;#&quot;) &quot;###&quot;-&quot;####"/>
    <numFmt numFmtId="179" formatCode="0%;\(0%\)"/>
    <numFmt numFmtId="180" formatCode="\ \ @"/>
    <numFmt numFmtId="181" formatCode="\ \ \ \ @"/>
    <numFmt numFmtId="182" formatCode="_(* #,##0.00_);_(* \(#,##0.00\);_(* &quot;-&quot;??_);_(@_)"/>
    <numFmt numFmtId="183" formatCode="_-* #,##0.00\ _р_._-;\-* #,##0.00\ _р_._-;_-* &quot;-&quot;??\ _р_._-;_-@_-"/>
    <numFmt numFmtId="184" formatCode="_-* #,##0.00_р_._-;\-* #,##0.00_р_._-;_-* \-??_р_._-;_-@_-"/>
    <numFmt numFmtId="185" formatCode="_-* #,##0.0\ _₽_-;\-* #,##0.0\ _₽_-;_-* &quot;-&quot;?\ _₽_-;_-@_-"/>
    <numFmt numFmtId="186" formatCode="#,##0.0_ ;\-#,##0.0\ "/>
  </numFmts>
  <fonts count="8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Verdana"/>
      <family val="2"/>
      <charset val="204"/>
    </font>
    <font>
      <sz val="10"/>
      <name val="Verdana"/>
      <family val="2"/>
      <charset val="204"/>
    </font>
    <font>
      <b/>
      <i/>
      <sz val="10"/>
      <name val="Verdana"/>
      <family val="2"/>
      <charset val="204"/>
    </font>
    <font>
      <sz val="10"/>
      <name val="Arial Cyr"/>
      <charset val="204"/>
    </font>
    <font>
      <b/>
      <u val="singleAccounting"/>
      <sz val="10"/>
      <name val="Verdana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"/>
      <family val="2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Arial"/>
      <family val="2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7"/>
      <name val="Calibri"/>
      <family val="2"/>
    </font>
    <font>
      <sz val="8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sz val="11"/>
      <color indexed="8"/>
      <name val="Arial"/>
      <family val="2"/>
      <charset val="204"/>
    </font>
    <font>
      <sz val="12"/>
      <name val="Times New Roman CYR"/>
    </font>
    <font>
      <b/>
      <sz val="14"/>
      <name val="Times New Roman"/>
      <family val="1"/>
      <charset val="204"/>
    </font>
    <font>
      <sz val="10"/>
      <name val="Courier"/>
      <family val="1"/>
      <charset val="204"/>
    </font>
    <font>
      <sz val="10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scheme val="minor"/>
    </font>
    <font>
      <sz val="12"/>
      <color rgb="FF3F3F76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rgb="FF9C65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9C0006"/>
      <name val="Calibri"/>
      <family val="2"/>
      <charset val="204"/>
      <scheme val="minor"/>
    </font>
    <font>
      <i/>
      <sz val="12"/>
      <color rgb="FF7F7F7F"/>
      <name val="Calibri"/>
      <family val="2"/>
      <charset val="204"/>
      <scheme val="minor"/>
    </font>
    <font>
      <sz val="12"/>
      <color rgb="FFFA7D00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006100"/>
      <name val="Calibri"/>
      <family val="2"/>
      <charset val="204"/>
      <scheme val="minor"/>
    </font>
    <font>
      <sz val="10"/>
      <color theme="1"/>
      <name val="Verdana"/>
      <family val="2"/>
      <charset val="204"/>
    </font>
  </fonts>
  <fills count="1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lightUp">
        <fgColor theme="0"/>
        <bgColor rgb="FFFFFF00"/>
      </patternFill>
    </fill>
    <fill>
      <gradientFill degree="90">
        <stop position="0">
          <color theme="0"/>
        </stop>
        <stop position="0.5">
          <color rgb="FF00FF00"/>
        </stop>
        <stop position="1">
          <color theme="0"/>
        </stop>
      </gradient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32">
    <xf numFmtId="0" fontId="0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1" fillId="0" borderId="0">
      <alignment vertical="top"/>
    </xf>
    <xf numFmtId="0" fontId="10" fillId="0" borderId="0"/>
    <xf numFmtId="0" fontId="12" fillId="2" borderId="1" applyNumberFormat="0">
      <alignment readingOrder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3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66" fillId="91" borderId="0" applyNumberFormat="0" applyBorder="0" applyAlignment="0" applyProtection="0"/>
    <xf numFmtId="0" fontId="66" fillId="92" borderId="0" applyNumberFormat="0" applyBorder="0" applyAlignment="0" applyProtection="0"/>
    <xf numFmtId="0" fontId="66" fillId="93" borderId="0" applyNumberFormat="0" applyBorder="0" applyAlignment="0" applyProtection="0"/>
    <xf numFmtId="0" fontId="66" fillId="94" borderId="0" applyNumberFormat="0" applyBorder="0" applyAlignment="0" applyProtection="0"/>
    <xf numFmtId="0" fontId="66" fillId="95" borderId="0" applyNumberFormat="0" applyBorder="0" applyAlignment="0" applyProtection="0"/>
    <xf numFmtId="0" fontId="66" fillId="96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66" fillId="97" borderId="0" applyNumberFormat="0" applyBorder="0" applyAlignment="0" applyProtection="0"/>
    <xf numFmtId="0" fontId="66" fillId="98" borderId="0" applyNumberFormat="0" applyBorder="0" applyAlignment="0" applyProtection="0"/>
    <xf numFmtId="0" fontId="66" fillId="99" borderId="0" applyNumberFormat="0" applyBorder="0" applyAlignment="0" applyProtection="0"/>
    <xf numFmtId="0" fontId="66" fillId="100" borderId="0" applyNumberFormat="0" applyBorder="0" applyAlignment="0" applyProtection="0"/>
    <xf numFmtId="0" fontId="66" fillId="101" borderId="0" applyNumberFormat="0" applyBorder="0" applyAlignment="0" applyProtection="0"/>
    <xf numFmtId="0" fontId="66" fillId="102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67" fillId="103" borderId="0" applyNumberFormat="0" applyBorder="0" applyAlignment="0" applyProtection="0"/>
    <xf numFmtId="0" fontId="67" fillId="104" borderId="0" applyNumberFormat="0" applyBorder="0" applyAlignment="0" applyProtection="0"/>
    <xf numFmtId="0" fontId="67" fillId="105" borderId="0" applyNumberFormat="0" applyBorder="0" applyAlignment="0" applyProtection="0"/>
    <xf numFmtId="0" fontId="67" fillId="106" borderId="0" applyNumberFormat="0" applyBorder="0" applyAlignment="0" applyProtection="0"/>
    <xf numFmtId="0" fontId="67" fillId="107" borderId="0" applyNumberFormat="0" applyBorder="0" applyAlignment="0" applyProtection="0"/>
    <xf numFmtId="0" fontId="67" fillId="108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9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1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7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9" borderId="0" applyNumberFormat="0" applyBorder="0" applyAlignment="0" applyProtection="0"/>
    <xf numFmtId="0" fontId="17" fillId="31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5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0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0" borderId="0" applyNumberFormat="0" applyBorder="0" applyAlignment="0" applyProtection="0"/>
    <xf numFmtId="0" fontId="17" fillId="22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5" fillId="15" borderId="0" applyNumberFormat="0" applyBorder="0" applyAlignment="0" applyProtection="0"/>
    <xf numFmtId="0" fontId="16" fillId="3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0" borderId="0" applyNumberFormat="0" applyBorder="0" applyAlignment="0" applyProtection="0"/>
    <xf numFmtId="0" fontId="16" fillId="22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0" borderId="0" applyNumberFormat="0" applyBorder="0" applyAlignment="0" applyProtection="0"/>
    <xf numFmtId="0" fontId="17" fillId="39" borderId="0" applyNumberFormat="0" applyBorder="0" applyAlignment="0" applyProtection="0"/>
    <xf numFmtId="0" fontId="15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19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5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29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29" borderId="0" applyNumberFormat="0" applyBorder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3" borderId="0" applyNumberFormat="0" applyBorder="0" applyAlignment="0" applyProtection="0"/>
    <xf numFmtId="0" fontId="17" fillId="44" borderId="0" applyNumberFormat="0" applyBorder="0" applyAlignment="0" applyProtection="0"/>
    <xf numFmtId="0" fontId="5" fillId="0" borderId="0"/>
    <xf numFmtId="49" fontId="14" fillId="6" borderId="2">
      <alignment horizontal="left" vertical="top"/>
      <protection locked="0"/>
    </xf>
    <xf numFmtId="49" fontId="14" fillId="6" borderId="2">
      <alignment horizontal="left" vertical="top"/>
      <protection locked="0"/>
    </xf>
    <xf numFmtId="49" fontId="14" fillId="0" borderId="2">
      <alignment horizontal="left" vertical="top"/>
      <protection locked="0"/>
    </xf>
    <xf numFmtId="49" fontId="14" fillId="0" borderId="2">
      <alignment horizontal="left" vertical="top"/>
      <protection locked="0"/>
    </xf>
    <xf numFmtId="49" fontId="14" fillId="45" borderId="2">
      <alignment horizontal="left" vertical="top"/>
      <protection locked="0"/>
    </xf>
    <xf numFmtId="49" fontId="14" fillId="45" borderId="2">
      <alignment horizontal="left" vertical="top"/>
      <protection locked="0"/>
    </xf>
    <xf numFmtId="0" fontId="14" fillId="0" borderId="0">
      <alignment horizontal="left" vertical="top" wrapText="1"/>
    </xf>
    <xf numFmtId="0" fontId="18" fillId="0" borderId="3">
      <alignment horizontal="left" vertical="top" wrapText="1"/>
    </xf>
    <xf numFmtId="49" fontId="5" fillId="0" borderId="0">
      <alignment horizontal="left" vertical="top" wrapText="1"/>
      <protection locked="0"/>
    </xf>
    <xf numFmtId="0" fontId="19" fillId="0" borderId="0">
      <alignment horizontal="left" vertical="top" wrapText="1"/>
    </xf>
    <xf numFmtId="49" fontId="5" fillId="0" borderId="2">
      <alignment horizontal="center" vertical="top" wrapText="1"/>
      <protection locked="0"/>
    </xf>
    <xf numFmtId="49" fontId="5" fillId="0" borderId="2">
      <alignment horizontal="center" vertical="top" wrapText="1"/>
      <protection locked="0"/>
    </xf>
    <xf numFmtId="49" fontId="14" fillId="0" borderId="0">
      <alignment horizontal="right" vertical="top"/>
      <protection locked="0"/>
    </xf>
    <xf numFmtId="49" fontId="14" fillId="6" borderId="2">
      <alignment horizontal="right" vertical="top"/>
      <protection locked="0"/>
    </xf>
    <xf numFmtId="49" fontId="14" fillId="6" borderId="2">
      <alignment horizontal="right" vertical="top"/>
      <protection locked="0"/>
    </xf>
    <xf numFmtId="0" fontId="14" fillId="6" borderId="2">
      <alignment horizontal="right" vertical="top"/>
      <protection locked="0"/>
    </xf>
    <xf numFmtId="0" fontId="14" fillId="6" borderId="2">
      <alignment horizontal="right" vertical="top"/>
      <protection locked="0"/>
    </xf>
    <xf numFmtId="49" fontId="14" fillId="0" borderId="2">
      <alignment horizontal="right" vertical="top"/>
      <protection locked="0"/>
    </xf>
    <xf numFmtId="49" fontId="14" fillId="0" borderId="2">
      <alignment horizontal="right" vertical="top"/>
      <protection locked="0"/>
    </xf>
    <xf numFmtId="0" fontId="14" fillId="0" borderId="2">
      <alignment horizontal="right" vertical="top"/>
      <protection locked="0"/>
    </xf>
    <xf numFmtId="0" fontId="14" fillId="0" borderId="2">
      <alignment horizontal="right" vertical="top"/>
      <protection locked="0"/>
    </xf>
    <xf numFmtId="49" fontId="14" fillId="45" borderId="2">
      <alignment horizontal="right" vertical="top"/>
      <protection locked="0"/>
    </xf>
    <xf numFmtId="49" fontId="14" fillId="45" borderId="2">
      <alignment horizontal="right" vertical="top"/>
      <protection locked="0"/>
    </xf>
    <xf numFmtId="0" fontId="14" fillId="45" borderId="2">
      <alignment horizontal="right" vertical="top"/>
      <protection locked="0"/>
    </xf>
    <xf numFmtId="0" fontId="14" fillId="45" borderId="2">
      <alignment horizontal="right" vertical="top"/>
      <protection locked="0"/>
    </xf>
    <xf numFmtId="49" fontId="5" fillId="0" borderId="0">
      <alignment horizontal="right" vertical="top" wrapText="1"/>
      <protection locked="0"/>
    </xf>
    <xf numFmtId="0" fontId="19" fillId="0" borderId="0">
      <alignment horizontal="right" vertical="top" wrapText="1"/>
    </xf>
    <xf numFmtId="49" fontId="5" fillId="0" borderId="0">
      <alignment horizontal="center" vertical="top" wrapText="1"/>
      <protection locked="0"/>
    </xf>
    <xf numFmtId="0" fontId="18" fillId="0" borderId="3">
      <alignment horizontal="center" vertical="top" wrapText="1"/>
    </xf>
    <xf numFmtId="49" fontId="14" fillId="0" borderId="2">
      <alignment horizontal="center" vertical="top" wrapText="1"/>
      <protection locked="0"/>
    </xf>
    <xf numFmtId="49" fontId="14" fillId="0" borderId="2">
      <alignment horizontal="center" vertical="top" wrapText="1"/>
      <protection locked="0"/>
    </xf>
    <xf numFmtId="0" fontId="14" fillId="0" borderId="2">
      <alignment horizontal="center" vertical="top" wrapText="1"/>
      <protection locked="0"/>
    </xf>
    <xf numFmtId="0" fontId="14" fillId="0" borderId="2">
      <alignment horizontal="center" vertical="top" wrapText="1"/>
      <protection locked="0"/>
    </xf>
    <xf numFmtId="0" fontId="20" fillId="5" borderId="0" applyNumberFormat="0" applyBorder="0" applyAlignment="0" applyProtection="0"/>
    <xf numFmtId="170" fontId="21" fillId="0" borderId="0" applyFill="0" applyBorder="0" applyAlignment="0"/>
    <xf numFmtId="171" fontId="21" fillId="0" borderId="0" applyFill="0" applyBorder="0" applyAlignment="0"/>
    <xf numFmtId="172" fontId="21" fillId="0" borderId="0" applyFill="0" applyBorder="0" applyAlignment="0"/>
    <xf numFmtId="173" fontId="21" fillId="0" borderId="0" applyFill="0" applyBorder="0" applyAlignment="0"/>
    <xf numFmtId="174" fontId="21" fillId="0" borderId="0" applyFill="0" applyBorder="0" applyAlignment="0"/>
    <xf numFmtId="170" fontId="21" fillId="0" borderId="0" applyFill="0" applyBorder="0" applyAlignment="0"/>
    <xf numFmtId="175" fontId="21" fillId="0" borderId="0" applyFill="0" applyBorder="0" applyAlignment="0"/>
    <xf numFmtId="171" fontId="21" fillId="0" borderId="0" applyFill="0" applyBorder="0" applyAlignment="0"/>
    <xf numFmtId="0" fontId="22" fillId="46" borderId="1" applyNumberFormat="0" applyAlignment="0" applyProtection="0"/>
    <xf numFmtId="0" fontId="23" fillId="47" borderId="4" applyNumberFormat="0" applyAlignment="0" applyProtection="0"/>
    <xf numFmtId="170" fontId="24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5" fillId="0" borderId="0" applyFont="0" applyFill="0" applyBorder="0" applyAlignment="0" applyProtection="0"/>
    <xf numFmtId="171" fontId="24" fillId="0" borderId="0" applyFont="0" applyFill="0" applyBorder="0" applyAlignment="0" applyProtection="0"/>
    <xf numFmtId="0" fontId="5" fillId="0" borderId="0"/>
    <xf numFmtId="0" fontId="5" fillId="0" borderId="0"/>
    <xf numFmtId="14" fontId="21" fillId="0" borderId="0" applyFill="0" applyBorder="0" applyAlignment="0"/>
    <xf numFmtId="0" fontId="25" fillId="0" borderId="0" applyNumberFormat="0" applyFill="0" applyBorder="0" applyAlignment="0" applyProtection="0"/>
    <xf numFmtId="176" fontId="13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26" fillId="48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2" borderId="0" applyNumberFormat="0" applyBorder="0" applyAlignment="0" applyProtection="0"/>
    <xf numFmtId="170" fontId="27" fillId="0" borderId="0" applyFill="0" applyBorder="0" applyAlignment="0"/>
    <xf numFmtId="171" fontId="27" fillId="0" borderId="0" applyFill="0" applyBorder="0" applyAlignment="0"/>
    <xf numFmtId="170" fontId="27" fillId="0" borderId="0" applyFill="0" applyBorder="0" applyAlignment="0"/>
    <xf numFmtId="175" fontId="27" fillId="0" borderId="0" applyFill="0" applyBorder="0" applyAlignment="0"/>
    <xf numFmtId="171" fontId="27" fillId="0" borderId="0" applyFill="0" applyBorder="0" applyAlignment="0"/>
    <xf numFmtId="0" fontId="28" fillId="0" borderId="0" applyFont="0" applyFill="0" applyBorder="0" applyAlignment="0" applyProtection="0"/>
    <xf numFmtId="178" fontId="68" fillId="0" borderId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0" fontId="31" fillId="0" borderId="5" applyNumberFormat="0" applyAlignment="0" applyProtection="0">
      <alignment horizontal="left" vertical="center"/>
    </xf>
    <xf numFmtId="0" fontId="31" fillId="0" borderId="6">
      <alignment horizontal="left" vertical="center"/>
    </xf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9" borderId="1" applyNumberFormat="0" applyAlignment="0" applyProtection="0"/>
    <xf numFmtId="170" fontId="36" fillId="0" borderId="0" applyFill="0" applyBorder="0" applyAlignment="0"/>
    <xf numFmtId="171" fontId="36" fillId="0" borderId="0" applyFill="0" applyBorder="0" applyAlignment="0"/>
    <xf numFmtId="170" fontId="36" fillId="0" borderId="0" applyFill="0" applyBorder="0" applyAlignment="0"/>
    <xf numFmtId="175" fontId="36" fillId="0" borderId="0" applyFill="0" applyBorder="0" applyAlignment="0"/>
    <xf numFmtId="171" fontId="36" fillId="0" borderId="0" applyFill="0" applyBorder="0" applyAlignment="0"/>
    <xf numFmtId="0" fontId="37" fillId="0" borderId="10" applyNumberFormat="0" applyFill="0" applyAlignment="0" applyProtection="0"/>
    <xf numFmtId="0" fontId="5" fillId="0" borderId="0"/>
    <xf numFmtId="0" fontId="38" fillId="53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39" fillId="42" borderId="0" applyNumberFormat="0" applyBorder="0" applyAlignment="0" applyProtection="0"/>
    <xf numFmtId="0" fontId="14" fillId="0" borderId="11"/>
    <xf numFmtId="0" fontId="69" fillId="0" borderId="0"/>
    <xf numFmtId="0" fontId="7" fillId="0" borderId="0"/>
    <xf numFmtId="0" fontId="40" fillId="54" borderId="0"/>
    <xf numFmtId="0" fontId="40" fillId="54" borderId="0"/>
    <xf numFmtId="0" fontId="5" fillId="0" borderId="0"/>
    <xf numFmtId="0" fontId="10" fillId="0" borderId="0"/>
    <xf numFmtId="0" fontId="7" fillId="55" borderId="12" applyNumberFormat="0" applyFont="0" applyAlignment="0" applyProtection="0"/>
    <xf numFmtId="0" fontId="40" fillId="41" borderId="13" applyNumberFormat="0" applyFont="0" applyAlignment="0" applyProtection="0"/>
    <xf numFmtId="0" fontId="40" fillId="41" borderId="13" applyNumberFormat="0" applyFont="0" applyAlignment="0" applyProtection="0"/>
    <xf numFmtId="0" fontId="40" fillId="41" borderId="13" applyNumberFormat="0" applyFont="0" applyAlignment="0" applyProtection="0"/>
    <xf numFmtId="0" fontId="40" fillId="41" borderId="13" applyNumberFormat="0" applyFont="0" applyAlignment="0" applyProtection="0"/>
    <xf numFmtId="0" fontId="41" fillId="46" borderId="14" applyNumberFormat="0" applyAlignment="0" applyProtection="0"/>
    <xf numFmtId="174" fontId="24" fillId="0" borderId="0" applyFont="0" applyFill="0" applyBorder="0" applyAlignment="0" applyProtection="0"/>
    <xf numFmtId="17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170" fontId="42" fillId="0" borderId="0" applyFill="0" applyBorder="0" applyAlignment="0"/>
    <xf numFmtId="171" fontId="42" fillId="0" borderId="0" applyFill="0" applyBorder="0" applyAlignment="0"/>
    <xf numFmtId="170" fontId="42" fillId="0" borderId="0" applyFill="0" applyBorder="0" applyAlignment="0"/>
    <xf numFmtId="175" fontId="42" fillId="0" borderId="0" applyFill="0" applyBorder="0" applyAlignment="0"/>
    <xf numFmtId="171" fontId="42" fillId="0" borderId="0" applyFill="0" applyBorder="0" applyAlignment="0"/>
    <xf numFmtId="4" fontId="21" fillId="56" borderId="14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3" fillId="53" borderId="13" applyNumberFormat="0" applyProtection="0">
      <alignment vertical="center"/>
    </xf>
    <xf numFmtId="4" fontId="44" fillId="56" borderId="14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14" fillId="56" borderId="13" applyNumberFormat="0" applyProtection="0">
      <alignment vertical="center"/>
    </xf>
    <xf numFmtId="4" fontId="21" fillId="56" borderId="14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43" fillId="56" borderId="13" applyNumberFormat="0" applyProtection="0">
      <alignment horizontal="left" vertical="center" indent="1"/>
    </xf>
    <xf numFmtId="4" fontId="21" fillId="56" borderId="14" applyNumberFormat="0" applyProtection="0">
      <alignment horizontal="left" vertical="center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14" fillId="53" borderId="15" applyNumberFormat="0" applyProtection="0">
      <alignment horizontal="left" vertical="top" indent="1"/>
    </xf>
    <xf numFmtId="0" fontId="45" fillId="2" borderId="16" applyNumberFormat="0" applyProtection="0">
      <alignment horizontal="center" vertical="center" wrapTex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21" fillId="57" borderId="14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43" fillId="5" borderId="13" applyNumberFormat="0" applyProtection="0">
      <alignment horizontal="right" vertical="center"/>
    </xf>
    <xf numFmtId="4" fontId="21" fillId="58" borderId="14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43" fillId="59" borderId="13" applyNumberFormat="0" applyProtection="0">
      <alignment horizontal="right" vertical="center"/>
    </xf>
    <xf numFmtId="4" fontId="21" fillId="60" borderId="14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43" fillId="26" borderId="3" applyNumberFormat="0" applyProtection="0">
      <alignment horizontal="right" vertical="center"/>
    </xf>
    <xf numFmtId="4" fontId="21" fillId="61" borderId="14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43" fillId="13" borderId="13" applyNumberFormat="0" applyProtection="0">
      <alignment horizontal="right" vertical="center"/>
    </xf>
    <xf numFmtId="4" fontId="21" fillId="62" borderId="14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43" fillId="17" borderId="13" applyNumberFormat="0" applyProtection="0">
      <alignment horizontal="right" vertical="center"/>
    </xf>
    <xf numFmtId="4" fontId="21" fillId="63" borderId="14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43" fillId="40" borderId="13" applyNumberFormat="0" applyProtection="0">
      <alignment horizontal="right" vertical="center"/>
    </xf>
    <xf numFmtId="4" fontId="21" fillId="64" borderId="14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43" fillId="33" borderId="13" applyNumberFormat="0" applyProtection="0">
      <alignment horizontal="right" vertical="center"/>
    </xf>
    <xf numFmtId="4" fontId="21" fillId="65" borderId="14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43" fillId="66" borderId="13" applyNumberFormat="0" applyProtection="0">
      <alignment horizontal="right" vertical="center"/>
    </xf>
    <xf numFmtId="4" fontId="21" fillId="67" borderId="14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3" fillId="12" borderId="13" applyNumberFormat="0" applyProtection="0">
      <alignment horizontal="right" vertical="center"/>
    </xf>
    <xf numFmtId="4" fontId="46" fillId="68" borderId="14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43" fillId="69" borderId="3" applyNumberFormat="0" applyProtection="0">
      <alignment horizontal="left" vertical="center" indent="1"/>
    </xf>
    <xf numFmtId="4" fontId="21" fillId="70" borderId="17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47" fillId="72" borderId="0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4" fontId="24" fillId="71" borderId="3" applyNumberFormat="0" applyProtection="0">
      <alignment horizontal="left" vertical="center" indent="1"/>
    </xf>
    <xf numFmtId="0" fontId="13" fillId="2" borderId="16" applyNumberFormat="0" applyProtection="0">
      <alignment horizontal="left" vertical="center" indent="1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3" fillId="73" borderId="13" applyNumberFormat="0" applyProtection="0">
      <alignment horizontal="right" vertical="center"/>
    </xf>
    <xf numFmtId="4" fontId="48" fillId="70" borderId="16" applyNumberFormat="0" applyProtection="0">
      <alignment horizontal="left" vertical="center" wrapText="1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3" fillId="74" borderId="3" applyNumberFormat="0" applyProtection="0">
      <alignment horizontal="left" vertical="center" indent="1"/>
    </xf>
    <xf numFmtId="4" fontId="48" fillId="75" borderId="16" applyNumberFormat="0" applyProtection="0">
      <alignment horizontal="left" vertical="center" wrapText="1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4" fontId="43" fillId="73" borderId="3" applyNumberFormat="0" applyProtection="0">
      <alignment horizontal="left" vertical="center" indent="1"/>
    </xf>
    <xf numFmtId="0" fontId="13" fillId="76" borderId="16" applyNumberFormat="0" applyProtection="0">
      <alignment horizontal="left" vertical="center" wrapText="1" indent="2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43" fillId="46" borderId="13" applyNumberFormat="0" applyProtection="0">
      <alignment horizontal="left" vertical="center" indent="1"/>
    </xf>
    <xf numFmtId="0" fontId="13" fillId="71" borderId="15" applyNumberFormat="0" applyProtection="0">
      <alignment horizontal="left" vertical="center" indent="1"/>
    </xf>
    <xf numFmtId="0" fontId="49" fillId="75" borderId="16" applyNumberFormat="0" applyProtection="0">
      <alignment horizontal="center" vertical="center" wrapTex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40" fillId="71" borderId="15" applyNumberFormat="0" applyProtection="0">
      <alignment horizontal="left" vertical="top" indent="1"/>
    </xf>
    <xf numFmtId="0" fontId="13" fillId="71" borderId="15" applyNumberFormat="0" applyProtection="0">
      <alignment horizontal="left" vertical="top" indent="1"/>
    </xf>
    <xf numFmtId="0" fontId="13" fillId="77" borderId="16" applyNumberFormat="0" applyProtection="0">
      <alignment horizontal="left" vertical="center" wrapText="1" indent="4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43" fillId="78" borderId="13" applyNumberFormat="0" applyProtection="0">
      <alignment horizontal="left" vertical="center" indent="1"/>
    </xf>
    <xf numFmtId="0" fontId="13" fillId="73" borderId="15" applyNumberFormat="0" applyProtection="0">
      <alignment horizontal="left" vertical="center" indent="1"/>
    </xf>
    <xf numFmtId="0" fontId="49" fillId="79" borderId="16" applyNumberFormat="0" applyProtection="0">
      <alignment horizontal="center" vertical="center" wrapTex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40" fillId="73" borderId="15" applyNumberFormat="0" applyProtection="0">
      <alignment horizontal="left" vertical="top" indent="1"/>
    </xf>
    <xf numFmtId="0" fontId="13" fillId="73" borderId="15" applyNumberFormat="0" applyProtection="0">
      <alignment horizontal="left" vertical="top" indent="1"/>
    </xf>
    <xf numFmtId="0" fontId="13" fillId="80" borderId="16" applyNumberFormat="0" applyProtection="0">
      <alignment horizontal="left" vertical="center" wrapText="1" indent="6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43" fillId="10" borderId="13" applyNumberFormat="0" applyProtection="0">
      <alignment horizontal="left" vertical="center" indent="1"/>
    </xf>
    <xf numFmtId="0" fontId="13" fillId="81" borderId="14" applyNumberFormat="0" applyProtection="0">
      <alignment horizontal="left" vertical="center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40" fillId="10" borderId="15" applyNumberFormat="0" applyProtection="0">
      <alignment horizontal="left" vertical="top" indent="1"/>
    </xf>
    <xf numFmtId="0" fontId="13" fillId="10" borderId="15" applyNumberFormat="0" applyProtection="0">
      <alignment horizontal="left" vertical="top" indent="1"/>
    </xf>
    <xf numFmtId="0" fontId="13" fillId="0" borderId="16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43" fillId="74" borderId="13" applyNumberFormat="0" applyProtection="0">
      <alignment horizontal="left" vertical="center" indent="1"/>
    </xf>
    <xf numFmtId="0" fontId="13" fillId="2" borderId="14" applyNumberFormat="0" applyProtection="0">
      <alignment horizontal="left" vertical="center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40" fillId="74" borderId="15" applyNumberFormat="0" applyProtection="0">
      <alignment horizontal="left" vertical="top" indent="1"/>
    </xf>
    <xf numFmtId="0" fontId="13" fillId="74" borderId="15" applyNumberFormat="0" applyProtection="0">
      <alignment horizontal="left" vertical="top" indent="1"/>
    </xf>
    <xf numFmtId="0" fontId="13" fillId="82" borderId="2" applyNumberFormat="0">
      <protection locked="0"/>
    </xf>
    <xf numFmtId="0" fontId="13" fillId="82" borderId="2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40" fillId="82" borderId="18" applyNumberFormat="0">
      <protection locked="0"/>
    </xf>
    <xf numFmtId="0" fontId="13" fillId="82" borderId="2" applyNumberFormat="0">
      <protection locked="0"/>
    </xf>
    <xf numFmtId="0" fontId="50" fillId="71" borderId="19" applyBorder="0"/>
    <xf numFmtId="4" fontId="21" fillId="83" borderId="14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51" fillId="55" borderId="15" applyNumberFormat="0" applyProtection="0">
      <alignment vertical="center"/>
    </xf>
    <xf numFmtId="4" fontId="44" fillId="83" borderId="14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14" fillId="83" borderId="2" applyNumberFormat="0" applyProtection="0">
      <alignment vertical="center"/>
    </xf>
    <xf numFmtId="4" fontId="21" fillId="83" borderId="14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51" fillId="46" borderId="15" applyNumberFormat="0" applyProtection="0">
      <alignment horizontal="left" vertical="center" indent="1"/>
    </xf>
    <xf numFmtId="4" fontId="21" fillId="83" borderId="14" applyNumberFormat="0" applyProtection="0">
      <alignment horizontal="left" vertical="center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0" fontId="51" fillId="55" borderId="15" applyNumberFormat="0" applyProtection="0">
      <alignment horizontal="left" vertical="top" indent="1"/>
    </xf>
    <xf numFmtId="4" fontId="21" fillId="70" borderId="14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3" fillId="0" borderId="13" applyNumberFormat="0" applyProtection="0">
      <alignment horizontal="right" vertical="center"/>
    </xf>
    <xf numFmtId="4" fontId="44" fillId="70" borderId="14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4" fontId="14" fillId="84" borderId="13" applyNumberFormat="0" applyProtection="0">
      <alignment horizontal="right" vertical="center"/>
    </xf>
    <xf numFmtId="0" fontId="13" fillId="2" borderId="20" applyNumberFormat="0" applyProtection="0">
      <alignment horizontal="left" vertical="center" wrapTex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4" fontId="43" fillId="16" borderId="13" applyNumberFormat="0" applyProtection="0">
      <alignment horizontal="left" vertical="center" indent="1"/>
    </xf>
    <xf numFmtId="0" fontId="49" fillId="9" borderId="16" applyNumberFormat="0" applyProtection="0">
      <alignment horizontal="center" vertical="center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1" fillId="73" borderId="15" applyNumberFormat="0" applyProtection="0">
      <alignment horizontal="left" vertical="top" indent="1"/>
    </xf>
    <xf numFmtId="0" fontId="52" fillId="0" borderId="0" applyNumberFormat="0" applyProtection="0"/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4" fontId="14" fillId="85" borderId="3" applyNumberFormat="0" applyProtection="0">
      <alignment horizontal="left" vertical="center" indent="1"/>
    </xf>
    <xf numFmtId="0" fontId="43" fillId="86" borderId="2"/>
    <xf numFmtId="0" fontId="43" fillId="86" borderId="2"/>
    <xf numFmtId="4" fontId="42" fillId="70" borderId="14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4" fontId="14" fillId="82" borderId="13" applyNumberFormat="0" applyProtection="0">
      <alignment horizontal="right" vertical="center"/>
    </xf>
    <xf numFmtId="0" fontId="14" fillId="0" borderId="0" applyNumberFormat="0" applyFill="0" applyBorder="0" applyAlignment="0" applyProtection="0"/>
    <xf numFmtId="2" fontId="53" fillId="87" borderId="21" applyProtection="0"/>
    <xf numFmtId="2" fontId="53" fillId="87" borderId="21" applyProtection="0"/>
    <xf numFmtId="2" fontId="54" fillId="0" borderId="0" applyFill="0" applyBorder="0" applyProtection="0"/>
    <xf numFmtId="2" fontId="12" fillId="0" borderId="0" applyFill="0" applyBorder="0" applyProtection="0"/>
    <xf numFmtId="2" fontId="12" fillId="88" borderId="21" applyProtection="0"/>
    <xf numFmtId="2" fontId="12" fillId="89" borderId="21" applyProtection="0"/>
    <xf numFmtId="2" fontId="12" fillId="90" borderId="21" applyProtection="0"/>
    <xf numFmtId="2" fontId="12" fillId="90" borderId="21" applyProtection="0">
      <alignment horizontal="center"/>
    </xf>
    <xf numFmtId="2" fontId="12" fillId="89" borderId="21" applyProtection="0">
      <alignment horizontal="center"/>
    </xf>
    <xf numFmtId="49" fontId="21" fillId="0" borderId="0" applyFill="0" applyBorder="0" applyAlignment="0"/>
    <xf numFmtId="180" fontId="21" fillId="0" borderId="0" applyFill="0" applyBorder="0" applyAlignment="0"/>
    <xf numFmtId="181" fontId="21" fillId="0" borderId="0" applyFill="0" applyBorder="0" applyAlignment="0"/>
    <xf numFmtId="0" fontId="14" fillId="0" borderId="3">
      <alignment horizontal="left" vertical="top" wrapText="1"/>
    </xf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0" borderId="0" applyNumberFormat="0" applyFill="0" applyBorder="0" applyAlignment="0" applyProtection="0"/>
    <xf numFmtId="0" fontId="67" fillId="109" borderId="0" applyNumberFormat="0" applyBorder="0" applyAlignment="0" applyProtection="0"/>
    <xf numFmtId="0" fontId="67" fillId="110" borderId="0" applyNumberFormat="0" applyBorder="0" applyAlignment="0" applyProtection="0"/>
    <xf numFmtId="0" fontId="67" fillId="111" borderId="0" applyNumberFormat="0" applyBorder="0" applyAlignment="0" applyProtection="0"/>
    <xf numFmtId="0" fontId="67" fillId="112" borderId="0" applyNumberFormat="0" applyBorder="0" applyAlignment="0" applyProtection="0"/>
    <xf numFmtId="0" fontId="67" fillId="113" borderId="0" applyNumberFormat="0" applyBorder="0" applyAlignment="0" applyProtection="0"/>
    <xf numFmtId="0" fontId="67" fillId="114" borderId="0" applyNumberFormat="0" applyBorder="0" applyAlignment="0" applyProtection="0"/>
    <xf numFmtId="0" fontId="70" fillId="115" borderId="57" applyNumberFormat="0" applyAlignment="0" applyProtection="0"/>
    <xf numFmtId="0" fontId="71" fillId="116" borderId="58" applyNumberFormat="0" applyAlignment="0" applyProtection="0"/>
    <xf numFmtId="0" fontId="72" fillId="116" borderId="57" applyNumberFormat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0" fontId="75" fillId="0" borderId="59" applyNumberFormat="0" applyFill="0" applyAlignment="0" applyProtection="0"/>
    <xf numFmtId="0" fontId="76" fillId="117" borderId="60" applyNumberFormat="0" applyAlignment="0" applyProtection="0"/>
    <xf numFmtId="0" fontId="77" fillId="118" borderId="0" applyNumberFormat="0" applyBorder="0" applyAlignment="0" applyProtection="0"/>
    <xf numFmtId="0" fontId="59" fillId="0" borderId="0"/>
    <xf numFmtId="0" fontId="59" fillId="0" borderId="0"/>
    <xf numFmtId="0" fontId="59" fillId="0" borderId="0"/>
    <xf numFmtId="0" fontId="7" fillId="0" borderId="0"/>
    <xf numFmtId="0" fontId="7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" fillId="0" borderId="0"/>
    <xf numFmtId="0" fontId="9" fillId="0" borderId="0"/>
    <xf numFmtId="0" fontId="65" fillId="0" borderId="0"/>
    <xf numFmtId="0" fontId="65" fillId="0" borderId="0"/>
    <xf numFmtId="0" fontId="65" fillId="0" borderId="0"/>
    <xf numFmtId="0" fontId="5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0"/>
    <xf numFmtId="0" fontId="5" fillId="0" borderId="0"/>
    <xf numFmtId="0" fontId="65" fillId="0" borderId="0"/>
    <xf numFmtId="0" fontId="5" fillId="0" borderId="0"/>
    <xf numFmtId="0" fontId="65" fillId="0" borderId="0"/>
    <xf numFmtId="0" fontId="5" fillId="0" borderId="0"/>
    <xf numFmtId="0" fontId="5" fillId="0" borderId="0"/>
    <xf numFmtId="0" fontId="5" fillId="0" borderId="0"/>
    <xf numFmtId="0" fontId="65" fillId="0" borderId="0"/>
    <xf numFmtId="0" fontId="59" fillId="0" borderId="0"/>
    <xf numFmtId="0" fontId="5" fillId="0" borderId="0"/>
    <xf numFmtId="0" fontId="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78" fillId="0" borderId="0"/>
    <xf numFmtId="0" fontId="65" fillId="0" borderId="0"/>
    <xf numFmtId="0" fontId="6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9" fillId="0" borderId="0"/>
    <xf numFmtId="0" fontId="7" fillId="0" borderId="0"/>
    <xf numFmtId="0" fontId="7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43" fillId="0" borderId="0"/>
    <xf numFmtId="0" fontId="65" fillId="0" borderId="0"/>
    <xf numFmtId="0" fontId="65" fillId="0" borderId="0"/>
    <xf numFmtId="0" fontId="13" fillId="0" borderId="0"/>
    <xf numFmtId="0" fontId="5" fillId="0" borderId="0"/>
    <xf numFmtId="0" fontId="79" fillId="0" borderId="0"/>
    <xf numFmtId="0" fontId="13" fillId="0" borderId="0"/>
    <xf numFmtId="0" fontId="65" fillId="0" borderId="0"/>
    <xf numFmtId="0" fontId="13" fillId="0" borderId="0"/>
    <xf numFmtId="0" fontId="80" fillId="0" borderId="0"/>
    <xf numFmtId="0" fontId="65" fillId="0" borderId="0"/>
    <xf numFmtId="0" fontId="65" fillId="0" borderId="0"/>
    <xf numFmtId="0" fontId="1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3" fillId="0" borderId="0"/>
    <xf numFmtId="0" fontId="8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6" fillId="0" borderId="0"/>
    <xf numFmtId="0" fontId="13" fillId="0" borderId="0"/>
    <xf numFmtId="0" fontId="13" fillId="0" borderId="0"/>
    <xf numFmtId="0" fontId="59" fillId="0" borderId="0"/>
    <xf numFmtId="0" fontId="65" fillId="0" borderId="0"/>
    <xf numFmtId="0" fontId="65" fillId="0" borderId="0"/>
    <xf numFmtId="0" fontId="82" fillId="119" borderId="0" applyNumberFormat="0" applyBorder="0" applyAlignment="0" applyProtection="0"/>
    <xf numFmtId="0" fontId="83" fillId="0" borderId="0" applyNumberFormat="0" applyFill="0" applyBorder="0" applyAlignment="0" applyProtection="0"/>
    <xf numFmtId="0" fontId="66" fillId="120" borderId="61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61" fillId="0" borderId="23"/>
    <xf numFmtId="0" fontId="84" fillId="0" borderId="62" applyNumberFormat="0" applyFill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5" fillId="121" borderId="24" applyBorder="0"/>
    <xf numFmtId="166" fontId="62" fillId="122" borderId="23" applyBorder="0" applyAlignment="0">
      <alignment horizontal="center"/>
    </xf>
    <xf numFmtId="4" fontId="85" fillId="0" borderId="24" applyBorder="0"/>
    <xf numFmtId="0" fontId="9" fillId="0" borderId="25" applyBorder="0" applyAlignment="0">
      <alignment horizontal="left" wrapText="1"/>
    </xf>
    <xf numFmtId="0" fontId="86" fillId="0" borderId="0" applyNumberFormat="0" applyFill="0" applyBorder="0" applyAlignment="0" applyProtection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66" fontId="8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3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82" fontId="13" fillId="0" borderId="0" applyFont="0" applyFill="0" applyBorder="0" applyAlignment="0" applyProtection="0"/>
    <xf numFmtId="166" fontId="80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82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65" fillId="0" borderId="0" applyFont="0" applyFill="0" applyBorder="0" applyAlignment="0" applyProtection="0"/>
    <xf numFmtId="166" fontId="65" fillId="0" borderId="0" applyFont="0" applyFill="0" applyBorder="0" applyAlignment="0" applyProtection="0"/>
    <xf numFmtId="182" fontId="13" fillId="0" borderId="0" applyFont="0" applyFill="0" applyBorder="0" applyAlignment="0" applyProtection="0"/>
    <xf numFmtId="182" fontId="13" fillId="0" borderId="0" applyFont="0" applyFill="0" applyBorder="0" applyAlignment="0" applyProtection="0"/>
    <xf numFmtId="182" fontId="64" fillId="0" borderId="0" applyFont="0" applyFill="0" applyBorder="0" applyAlignment="0" applyProtection="0"/>
    <xf numFmtId="166" fontId="81" fillId="0" borderId="0" applyFont="0" applyFill="0" applyBorder="0" applyAlignment="0" applyProtection="0"/>
    <xf numFmtId="0" fontId="43" fillId="0" borderId="0"/>
    <xf numFmtId="183" fontId="13" fillId="0" borderId="0" applyFill="0" applyBorder="0" applyAlignment="0" applyProtection="0"/>
    <xf numFmtId="184" fontId="9" fillId="0" borderId="0" applyFill="0" applyBorder="0" applyAlignment="0" applyProtection="0"/>
    <xf numFmtId="182" fontId="13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87" fillId="123" borderId="0" applyNumberFormat="0" applyBorder="0" applyAlignment="0" applyProtection="0"/>
  </cellStyleXfs>
  <cellXfs count="230">
    <xf numFmtId="0" fontId="0" fillId="0" borderId="0" xfId="0"/>
    <xf numFmtId="167" fontId="3" fillId="0" borderId="0" xfId="783" applyNumberFormat="1" applyFont="1" applyFill="1" applyBorder="1" applyAlignment="1">
      <alignment horizontal="center" vertical="center" wrapText="1"/>
    </xf>
    <xf numFmtId="0" fontId="3" fillId="0" borderId="0" xfId="623" applyFont="1" applyFill="1" applyBorder="1" applyAlignment="1">
      <alignment horizontal="center" vertical="center" wrapText="1"/>
    </xf>
    <xf numFmtId="0" fontId="3" fillId="0" borderId="0" xfId="623" applyFont="1" applyFill="1" applyBorder="1" applyAlignment="1">
      <alignment horizontal="right" vertical="center" wrapText="1"/>
    </xf>
    <xf numFmtId="167" fontId="3" fillId="0" borderId="0" xfId="783" applyNumberFormat="1" applyFont="1" applyFill="1" applyBorder="1" applyAlignment="1">
      <alignment horizontal="right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7" fontId="2" fillId="0" borderId="0" xfId="78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horizontal="right" vertical="center" wrapText="1"/>
    </xf>
    <xf numFmtId="167" fontId="2" fillId="0" borderId="0" xfId="783" applyNumberFormat="1" applyFont="1" applyFill="1" applyBorder="1" applyAlignment="1">
      <alignment horizontal="right" vertical="center" wrapText="1"/>
    </xf>
    <xf numFmtId="167" fontId="2" fillId="0" borderId="26" xfId="783" applyNumberFormat="1" applyFont="1" applyFill="1" applyBorder="1" applyAlignment="1">
      <alignment horizontal="center" vertical="center" wrapText="1"/>
    </xf>
    <xf numFmtId="167" fontId="2" fillId="0" borderId="27" xfId="78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vertical="center" wrapText="1"/>
    </xf>
    <xf numFmtId="168" fontId="2" fillId="0" borderId="28" xfId="623" applyNumberFormat="1" applyFont="1" applyFill="1" applyBorder="1" applyAlignment="1">
      <alignment horizontal="left" vertical="center" wrapText="1"/>
    </xf>
    <xf numFmtId="167" fontId="2" fillId="0" borderId="28" xfId="78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horizontal="left" vertical="center" wrapText="1"/>
    </xf>
    <xf numFmtId="167" fontId="3" fillId="0" borderId="29" xfId="783" applyNumberFormat="1" applyFont="1" applyFill="1" applyBorder="1" applyAlignment="1">
      <alignment horizontal="center" vertical="center" wrapText="1"/>
    </xf>
    <xf numFmtId="168" fontId="3" fillId="0" borderId="0" xfId="623" applyNumberFormat="1" applyFont="1" applyFill="1" applyBorder="1" applyAlignment="1">
      <alignment horizontal="center" vertical="center" wrapText="1"/>
    </xf>
    <xf numFmtId="167" fontId="3" fillId="0" borderId="0" xfId="783" applyNumberFormat="1" applyFont="1" applyFill="1" applyBorder="1" applyAlignment="1" applyProtection="1">
      <alignment horizontal="center" vertical="center" wrapText="1"/>
    </xf>
    <xf numFmtId="168" fontId="3" fillId="0" borderId="0" xfId="638" applyNumberFormat="1" applyFont="1" applyFill="1" applyBorder="1" applyAlignment="1" applyProtection="1">
      <alignment horizontal="center" vertical="center" wrapText="1"/>
    </xf>
    <xf numFmtId="167" fontId="3" fillId="0" borderId="30" xfId="783" applyNumberFormat="1" applyFont="1" applyFill="1" applyBorder="1" applyAlignment="1">
      <alignment horizontal="center" vertical="center" wrapText="1"/>
    </xf>
    <xf numFmtId="0" fontId="3" fillId="0" borderId="30" xfId="638" applyFont="1" applyFill="1" applyBorder="1" applyAlignment="1" applyProtection="1">
      <alignment horizontal="left" vertical="center" wrapText="1"/>
    </xf>
    <xf numFmtId="168" fontId="3" fillId="0" borderId="31" xfId="623" applyNumberFormat="1" applyFont="1" applyFill="1" applyBorder="1" applyAlignment="1">
      <alignment horizontal="left" vertical="center" wrapText="1"/>
    </xf>
    <xf numFmtId="167" fontId="3" fillId="0" borderId="31" xfId="783" applyNumberFormat="1" applyFont="1" applyFill="1" applyBorder="1" applyAlignment="1">
      <alignment horizontal="center" vertical="center" wrapText="1"/>
    </xf>
    <xf numFmtId="168" fontId="3" fillId="0" borderId="0" xfId="623" applyNumberFormat="1" applyFont="1" applyFill="1" applyBorder="1" applyAlignment="1">
      <alignment horizontal="left" vertical="center" wrapText="1"/>
    </xf>
    <xf numFmtId="167" fontId="2" fillId="0" borderId="28" xfId="783" applyNumberFormat="1" applyFont="1" applyFill="1" applyBorder="1" applyAlignment="1">
      <alignment horizontal="left" vertical="center" wrapText="1"/>
    </xf>
    <xf numFmtId="168" fontId="3" fillId="0" borderId="0" xfId="626" applyNumberFormat="1" applyFont="1" applyFill="1" applyBorder="1" applyAlignment="1">
      <alignment horizontal="center" vertical="center" wrapText="1"/>
    </xf>
    <xf numFmtId="167" fontId="3" fillId="0" borderId="30" xfId="783" applyNumberFormat="1" applyFont="1" applyFill="1" applyBorder="1" applyAlignment="1" applyProtection="1">
      <alignment horizontal="center" vertical="center" wrapText="1"/>
    </xf>
    <xf numFmtId="168" fontId="3" fillId="0" borderId="29" xfId="623" applyNumberFormat="1" applyFont="1" applyFill="1" applyBorder="1" applyAlignment="1">
      <alignment horizontal="left" vertical="center" wrapText="1"/>
    </xf>
    <xf numFmtId="0" fontId="3" fillId="0" borderId="29" xfId="623" applyFont="1" applyFill="1" applyBorder="1" applyAlignment="1" applyProtection="1">
      <alignment horizontal="left" vertical="center" wrapText="1"/>
    </xf>
    <xf numFmtId="167" fontId="3" fillId="0" borderId="29" xfId="783" applyNumberFormat="1" applyFont="1" applyFill="1" applyBorder="1" applyAlignment="1" applyProtection="1">
      <alignment horizontal="center" vertical="center" wrapText="1"/>
    </xf>
    <xf numFmtId="0" fontId="3" fillId="0" borderId="30" xfId="623" applyFont="1" applyFill="1" applyBorder="1" applyAlignment="1" applyProtection="1">
      <alignment horizontal="left" vertical="center" wrapText="1"/>
    </xf>
    <xf numFmtId="168" fontId="3" fillId="0" borderId="30" xfId="623" applyNumberFormat="1" applyFont="1" applyFill="1" applyBorder="1" applyAlignment="1">
      <alignment horizontal="left" vertical="center" wrapText="1"/>
    </xf>
    <xf numFmtId="168" fontId="2" fillId="0" borderId="31" xfId="623" applyNumberFormat="1" applyFont="1" applyFill="1" applyBorder="1" applyAlignment="1">
      <alignment horizontal="left" vertical="center" wrapText="1"/>
    </xf>
    <xf numFmtId="167" fontId="2" fillId="0" borderId="31" xfId="783" applyNumberFormat="1" applyFont="1" applyFill="1" applyBorder="1" applyAlignment="1">
      <alignment horizontal="center" vertical="center" wrapText="1"/>
    </xf>
    <xf numFmtId="168" fontId="4" fillId="0" borderId="26" xfId="623" applyNumberFormat="1" applyFont="1" applyFill="1" applyBorder="1" applyAlignment="1">
      <alignment horizontal="left" vertical="center" wrapText="1"/>
    </xf>
    <xf numFmtId="167" fontId="4" fillId="0" borderId="26" xfId="783" applyNumberFormat="1" applyFont="1" applyFill="1" applyBorder="1" applyAlignment="1">
      <alignment horizontal="center" vertical="center" wrapText="1"/>
    </xf>
    <xf numFmtId="167" fontId="4" fillId="0" borderId="0" xfId="783" applyNumberFormat="1" applyFont="1" applyFill="1" applyBorder="1" applyAlignment="1">
      <alignment horizontal="center" vertical="center" wrapText="1"/>
    </xf>
    <xf numFmtId="168" fontId="4" fillId="0" borderId="0" xfId="623" applyNumberFormat="1" applyFont="1" applyFill="1" applyBorder="1" applyAlignment="1">
      <alignment horizontal="center" vertical="center" wrapText="1"/>
    </xf>
    <xf numFmtId="168" fontId="4" fillId="0" borderId="0" xfId="623" applyNumberFormat="1" applyFont="1" applyFill="1" applyBorder="1" applyAlignment="1">
      <alignment vertical="center" wrapText="1"/>
    </xf>
    <xf numFmtId="167" fontId="4" fillId="0" borderId="0" xfId="783" applyNumberFormat="1" applyFont="1" applyFill="1" applyBorder="1" applyAlignment="1">
      <alignment vertical="center" wrapText="1"/>
    </xf>
    <xf numFmtId="168" fontId="4" fillId="0" borderId="0" xfId="623" applyNumberFormat="1" applyFont="1" applyFill="1" applyBorder="1" applyAlignment="1">
      <alignment horizontal="left" vertical="center" wrapText="1"/>
    </xf>
    <xf numFmtId="167" fontId="4" fillId="0" borderId="31" xfId="783" applyNumberFormat="1" applyFont="1" applyFill="1" applyBorder="1" applyAlignment="1">
      <alignment horizontal="center" vertical="center" wrapText="1"/>
    </xf>
    <xf numFmtId="0" fontId="2" fillId="0" borderId="28" xfId="623" applyFont="1" applyFill="1" applyBorder="1" applyAlignment="1">
      <alignment horizontal="left" vertical="center" wrapText="1"/>
    </xf>
    <xf numFmtId="49" fontId="3" fillId="0" borderId="30" xfId="623" applyNumberFormat="1" applyFont="1" applyFill="1" applyBorder="1" applyAlignment="1">
      <alignment horizontal="left" vertical="center" wrapText="1"/>
    </xf>
    <xf numFmtId="0" fontId="3" fillId="0" borderId="31" xfId="638" applyFont="1" applyFill="1" applyBorder="1" applyAlignment="1" applyProtection="1">
      <alignment horizontal="left" vertical="center" wrapText="1"/>
    </xf>
    <xf numFmtId="167" fontId="3" fillId="0" borderId="31" xfId="783" applyNumberFormat="1" applyFont="1" applyFill="1" applyBorder="1" applyAlignment="1" applyProtection="1">
      <alignment horizontal="center" vertical="center" wrapText="1"/>
    </xf>
    <xf numFmtId="0" fontId="3" fillId="0" borderId="0" xfId="638" applyFont="1" applyFill="1" applyBorder="1" applyAlignment="1" applyProtection="1">
      <alignment horizontal="left" vertical="center" wrapText="1"/>
    </xf>
    <xf numFmtId="0" fontId="3" fillId="0" borderId="31" xfId="623" applyFont="1" applyFill="1" applyBorder="1" applyAlignment="1">
      <alignment horizontal="left" vertical="center" wrapText="1"/>
    </xf>
    <xf numFmtId="0" fontId="3" fillId="0" borderId="0" xfId="623" applyFont="1" applyFill="1" applyBorder="1" applyAlignment="1">
      <alignment horizontal="left" vertical="center" wrapText="1"/>
    </xf>
    <xf numFmtId="0" fontId="3" fillId="0" borderId="0" xfId="623" applyFont="1" applyFill="1" applyBorder="1" applyAlignment="1">
      <alignment vertical="center" wrapText="1"/>
    </xf>
    <xf numFmtId="167" fontId="3" fillId="0" borderId="0" xfId="783" applyNumberFormat="1" applyFont="1" applyFill="1" applyBorder="1" applyAlignment="1">
      <alignment vertical="center" wrapText="1"/>
    </xf>
    <xf numFmtId="49" fontId="3" fillId="0" borderId="26" xfId="623" applyNumberFormat="1" applyFont="1" applyFill="1" applyBorder="1" applyAlignment="1">
      <alignment horizontal="left" vertical="center" wrapText="1"/>
    </xf>
    <xf numFmtId="168" fontId="3" fillId="0" borderId="32" xfId="623" applyNumberFormat="1" applyFont="1" applyFill="1" applyBorder="1" applyAlignment="1">
      <alignment horizontal="left" vertical="center" wrapText="1"/>
    </xf>
    <xf numFmtId="168" fontId="6" fillId="0" borderId="26" xfId="623" applyNumberFormat="1" applyFont="1" applyFill="1" applyBorder="1" applyAlignment="1">
      <alignment horizontal="left" vertical="center" wrapText="1"/>
    </xf>
    <xf numFmtId="167" fontId="6" fillId="0" borderId="26" xfId="783" applyNumberFormat="1" applyFont="1" applyFill="1" applyBorder="1" applyAlignment="1">
      <alignment horizontal="center" vertical="center" wrapText="1"/>
    </xf>
    <xf numFmtId="168" fontId="6" fillId="0" borderId="0" xfId="623" applyNumberFormat="1" applyFont="1" applyFill="1" applyBorder="1" applyAlignment="1">
      <alignment horizontal="center" vertical="center" wrapText="1"/>
    </xf>
    <xf numFmtId="167" fontId="3" fillId="0" borderId="0" xfId="793" applyNumberFormat="1" applyFont="1" applyFill="1" applyBorder="1" applyAlignment="1">
      <alignment horizontal="center" vertical="center" wrapText="1"/>
    </xf>
    <xf numFmtId="167" fontId="2" fillId="0" borderId="0" xfId="802" applyNumberFormat="1" applyFont="1" applyFill="1" applyBorder="1" applyAlignment="1" applyProtection="1">
      <alignment horizontal="left" vertical="center" wrapText="1"/>
    </xf>
    <xf numFmtId="167" fontId="2" fillId="0" borderId="0" xfId="783" applyNumberFormat="1" applyFont="1" applyFill="1" applyBorder="1" applyAlignment="1" applyProtection="1">
      <alignment vertical="center" wrapText="1"/>
    </xf>
    <xf numFmtId="167" fontId="2" fillId="0" borderId="0" xfId="802" applyNumberFormat="1" applyFont="1" applyFill="1" applyBorder="1" applyAlignment="1" applyProtection="1">
      <alignment horizontal="center" vertical="center" wrapText="1"/>
    </xf>
    <xf numFmtId="49" fontId="3" fillId="0" borderId="32" xfId="623" applyNumberFormat="1" applyFont="1" applyFill="1" applyBorder="1" applyAlignment="1">
      <alignment horizontal="left" vertical="center" wrapText="1"/>
    </xf>
    <xf numFmtId="0" fontId="2" fillId="0" borderId="33" xfId="623" applyNumberFormat="1" applyFont="1" applyFill="1" applyBorder="1" applyAlignment="1">
      <alignment horizontal="center" vertical="center" wrapText="1"/>
    </xf>
    <xf numFmtId="0" fontId="2" fillId="0" borderId="32" xfId="623" applyNumberFormat="1" applyFont="1" applyFill="1" applyBorder="1" applyAlignment="1">
      <alignment horizontal="center" vertical="center" wrapText="1"/>
    </xf>
    <xf numFmtId="0" fontId="2" fillId="0" borderId="0" xfId="623" applyNumberFormat="1" applyFont="1" applyFill="1" applyBorder="1" applyAlignment="1">
      <alignment horizontal="center" vertical="center" wrapText="1"/>
    </xf>
    <xf numFmtId="0" fontId="3" fillId="0" borderId="0" xfId="793" applyNumberFormat="1" applyFont="1" applyFill="1" applyBorder="1" applyAlignment="1">
      <alignment horizontal="center" vertical="center" wrapText="1"/>
    </xf>
    <xf numFmtId="0" fontId="3" fillId="0" borderId="0" xfId="623" applyNumberFormat="1" applyFont="1" applyFill="1" applyBorder="1" applyAlignment="1">
      <alignment horizontal="center" vertical="center" wrapText="1"/>
    </xf>
    <xf numFmtId="0" fontId="2" fillId="0" borderId="28" xfId="623" applyNumberFormat="1" applyFont="1" applyFill="1" applyBorder="1" applyAlignment="1">
      <alignment horizontal="center" vertical="center" wrapText="1"/>
    </xf>
    <xf numFmtId="0" fontId="3" fillId="0" borderId="29" xfId="623" applyNumberFormat="1" applyFont="1" applyFill="1" applyBorder="1" applyAlignment="1" applyProtection="1">
      <alignment horizontal="center" vertical="center" wrapText="1"/>
    </xf>
    <xf numFmtId="0" fontId="3" fillId="0" borderId="31" xfId="623" applyNumberFormat="1" applyFont="1" applyFill="1" applyBorder="1" applyAlignment="1">
      <alignment horizontal="center" vertical="center" wrapText="1"/>
    </xf>
    <xf numFmtId="0" fontId="3" fillId="0" borderId="29" xfId="626" applyNumberFormat="1" applyFont="1" applyFill="1" applyBorder="1" applyAlignment="1">
      <alignment horizontal="center" vertical="center" wrapText="1"/>
    </xf>
    <xf numFmtId="0" fontId="3" fillId="0" borderId="30" xfId="638" applyNumberFormat="1" applyFont="1" applyFill="1" applyBorder="1" applyAlignment="1" applyProtection="1">
      <alignment horizontal="center" vertical="center" wrapText="1"/>
    </xf>
    <xf numFmtId="0" fontId="3" fillId="0" borderId="29" xfId="623" applyNumberFormat="1" applyFont="1" applyFill="1" applyBorder="1" applyAlignment="1">
      <alignment horizontal="center" vertical="center" wrapText="1"/>
    </xf>
    <xf numFmtId="0" fontId="3" fillId="0" borderId="30" xfId="623" applyNumberFormat="1" applyFont="1" applyFill="1" applyBorder="1" applyAlignment="1" applyProtection="1">
      <alignment horizontal="center" vertical="center" wrapText="1"/>
    </xf>
    <xf numFmtId="0" fontId="3" fillId="0" borderId="30" xfId="623" applyNumberFormat="1" applyFont="1" applyFill="1" applyBorder="1" applyAlignment="1">
      <alignment horizontal="center" vertical="center" wrapText="1"/>
    </xf>
    <xf numFmtId="0" fontId="2" fillId="0" borderId="31" xfId="623" applyNumberFormat="1" applyFont="1" applyFill="1" applyBorder="1" applyAlignment="1">
      <alignment horizontal="center" vertical="center" wrapText="1"/>
    </xf>
    <xf numFmtId="0" fontId="4" fillId="0" borderId="26" xfId="623" applyNumberFormat="1" applyFont="1" applyFill="1" applyBorder="1" applyAlignment="1">
      <alignment horizontal="center" vertical="center" wrapText="1"/>
    </xf>
    <xf numFmtId="0" fontId="4" fillId="0" borderId="0" xfId="623" applyNumberFormat="1" applyFont="1" applyFill="1" applyBorder="1" applyAlignment="1">
      <alignment horizontal="center" vertical="center" wrapText="1"/>
    </xf>
    <xf numFmtId="0" fontId="3" fillId="0" borderId="31" xfId="638" applyNumberFormat="1" applyFont="1" applyFill="1" applyBorder="1" applyAlignment="1" applyProtection="1">
      <alignment horizontal="center" vertical="center" wrapText="1"/>
    </xf>
    <xf numFmtId="0" fontId="3" fillId="0" borderId="0" xfId="638" applyNumberFormat="1" applyFont="1" applyFill="1" applyBorder="1" applyAlignment="1" applyProtection="1">
      <alignment horizontal="center" vertical="center" wrapText="1"/>
    </xf>
    <xf numFmtId="0" fontId="3" fillId="0" borderId="34" xfId="623" applyNumberFormat="1" applyFont="1" applyFill="1" applyBorder="1" applyAlignment="1">
      <alignment horizontal="center" vertical="center" wrapText="1"/>
    </xf>
    <xf numFmtId="0" fontId="3" fillId="0" borderId="32" xfId="623" applyNumberFormat="1" applyFont="1" applyFill="1" applyBorder="1" applyAlignment="1">
      <alignment horizontal="center" vertical="center" wrapText="1"/>
    </xf>
    <xf numFmtId="0" fontId="6" fillId="0" borderId="26" xfId="623" applyNumberFormat="1" applyFont="1" applyFill="1" applyBorder="1" applyAlignment="1">
      <alignment horizontal="center" vertical="center" wrapText="1"/>
    </xf>
    <xf numFmtId="0" fontId="2" fillId="0" borderId="0" xfId="802" applyNumberFormat="1" applyFont="1" applyFill="1" applyBorder="1" applyAlignment="1" applyProtection="1">
      <alignment horizontal="center" vertical="center" wrapText="1"/>
    </xf>
    <xf numFmtId="166" fontId="3" fillId="0" borderId="0" xfId="771" applyFont="1" applyFill="1" applyBorder="1" applyAlignment="1">
      <alignment horizontal="center" vertical="center" wrapText="1"/>
    </xf>
    <xf numFmtId="0" fontId="3" fillId="0" borderId="0" xfId="771" applyNumberFormat="1" applyFont="1" applyFill="1" applyBorder="1" applyAlignment="1">
      <alignment horizontal="center" vertical="center" wrapText="1"/>
    </xf>
    <xf numFmtId="168" fontId="3" fillId="0" borderId="29" xfId="623" applyNumberFormat="1" applyFont="1" applyFill="1" applyBorder="1" applyAlignment="1" applyProtection="1">
      <alignment horizontal="left" vertical="center" wrapText="1"/>
    </xf>
    <xf numFmtId="168" fontId="3" fillId="0" borderId="29" xfId="626" applyNumberFormat="1" applyFont="1" applyFill="1" applyBorder="1" applyAlignment="1">
      <alignment horizontal="left" vertical="center" wrapText="1"/>
    </xf>
    <xf numFmtId="185" fontId="3" fillId="0" borderId="30" xfId="783" applyNumberFormat="1" applyFont="1" applyFill="1" applyBorder="1" applyAlignment="1">
      <alignment horizontal="center" vertical="center" wrapText="1"/>
    </xf>
    <xf numFmtId="0" fontId="12" fillId="0" borderId="11" xfId="716" applyFont="1" applyFill="1" applyBorder="1" applyAlignment="1">
      <alignment horizontal="left" vertical="center" wrapText="1"/>
    </xf>
    <xf numFmtId="168" fontId="3" fillId="0" borderId="30" xfId="623" applyNumberFormat="1" applyFont="1" applyFill="1" applyBorder="1" applyAlignment="1" applyProtection="1">
      <alignment horizontal="left" vertical="center" wrapText="1"/>
    </xf>
    <xf numFmtId="0" fontId="88" fillId="0" borderId="11" xfId="0" applyFont="1" applyFill="1" applyBorder="1" applyAlignment="1">
      <alignment horizontal="left" vertical="center" wrapText="1"/>
    </xf>
    <xf numFmtId="0" fontId="3" fillId="0" borderId="35" xfId="638" applyNumberFormat="1" applyFont="1" applyFill="1" applyBorder="1" applyAlignment="1" applyProtection="1">
      <alignment horizontal="center" vertical="center" wrapText="1"/>
    </xf>
    <xf numFmtId="0" fontId="88" fillId="0" borderId="36" xfId="0" applyFont="1" applyFill="1" applyBorder="1" applyAlignment="1">
      <alignment horizontal="left" vertical="center" wrapText="1"/>
    </xf>
    <xf numFmtId="168" fontId="3" fillId="0" borderId="2" xfId="623" applyNumberFormat="1" applyFont="1" applyFill="1" applyBorder="1" applyAlignment="1">
      <alignment horizontal="left" vertical="center" wrapText="1"/>
    </xf>
    <xf numFmtId="0" fontId="3" fillId="0" borderId="2" xfId="623" applyNumberFormat="1" applyFont="1" applyFill="1" applyBorder="1" applyAlignment="1">
      <alignment horizontal="center" vertical="center" wrapText="1"/>
    </xf>
    <xf numFmtId="167" fontId="3" fillId="0" borderId="2" xfId="783" applyNumberFormat="1" applyFont="1" applyFill="1" applyBorder="1" applyAlignment="1">
      <alignment horizontal="center" vertical="center" wrapText="1"/>
    </xf>
    <xf numFmtId="167" fontId="3" fillId="0" borderId="32" xfId="783" applyNumberFormat="1" applyFont="1" applyFill="1" applyBorder="1" applyAlignment="1">
      <alignment horizontal="center" vertical="center" wrapText="1"/>
    </xf>
    <xf numFmtId="168" fontId="3" fillId="0" borderId="6" xfId="638" applyNumberFormat="1" applyFont="1" applyFill="1" applyBorder="1" applyAlignment="1" applyProtection="1">
      <alignment horizontal="center" vertical="center" wrapText="1"/>
    </xf>
    <xf numFmtId="185" fontId="3" fillId="0" borderId="6" xfId="638" applyNumberFormat="1" applyFont="1" applyFill="1" applyBorder="1" applyAlignment="1" applyProtection="1">
      <alignment horizontal="center" vertical="center" wrapText="1"/>
    </xf>
    <xf numFmtId="167" fontId="3" fillId="0" borderId="6" xfId="783" applyNumberFormat="1" applyFont="1" applyFill="1" applyBorder="1" applyAlignment="1" applyProtection="1">
      <alignment horizontal="center" vertical="center" wrapText="1"/>
    </xf>
    <xf numFmtId="0" fontId="3" fillId="0" borderId="29" xfId="638" applyNumberFormat="1" applyFont="1" applyFill="1" applyBorder="1" applyAlignment="1" applyProtection="1">
      <alignment horizontal="center" vertical="center" wrapText="1"/>
    </xf>
    <xf numFmtId="167" fontId="3" fillId="0" borderId="37" xfId="783" applyNumberFormat="1" applyFont="1" applyFill="1" applyBorder="1" applyAlignment="1" applyProtection="1">
      <alignment horizontal="center" vertical="center" wrapText="1"/>
    </xf>
    <xf numFmtId="186" fontId="3" fillId="0" borderId="29" xfId="638" applyNumberFormat="1" applyFont="1" applyFill="1" applyBorder="1" applyAlignment="1" applyProtection="1">
      <alignment horizontal="center" vertical="center" wrapText="1"/>
    </xf>
    <xf numFmtId="168" fontId="3" fillId="0" borderId="38" xfId="623" applyNumberFormat="1" applyFont="1" applyFill="1" applyBorder="1" applyAlignment="1">
      <alignment horizontal="left" vertical="center" wrapText="1"/>
    </xf>
    <xf numFmtId="0" fontId="3" fillId="0" borderId="39" xfId="623" applyNumberFormat="1" applyFont="1" applyFill="1" applyBorder="1" applyAlignment="1">
      <alignment horizontal="center" vertical="center" wrapText="1"/>
    </xf>
    <xf numFmtId="167" fontId="4" fillId="0" borderId="39" xfId="783" applyNumberFormat="1" applyFont="1" applyFill="1" applyBorder="1" applyAlignment="1">
      <alignment horizontal="center" vertical="center" wrapText="1"/>
    </xf>
    <xf numFmtId="167" fontId="4" fillId="0" borderId="40" xfId="783" applyNumberFormat="1" applyFont="1" applyFill="1" applyBorder="1" applyAlignment="1">
      <alignment horizontal="center" vertical="center" wrapText="1"/>
    </xf>
    <xf numFmtId="168" fontId="3" fillId="0" borderId="41" xfId="623" applyNumberFormat="1" applyFont="1" applyFill="1" applyBorder="1" applyAlignment="1">
      <alignment horizontal="left" vertical="center" wrapText="1"/>
    </xf>
    <xf numFmtId="0" fontId="3" fillId="0" borderId="42" xfId="623" applyNumberFormat="1" applyFont="1" applyFill="1" applyBorder="1" applyAlignment="1">
      <alignment horizontal="center" vertical="center" wrapText="1"/>
    </xf>
    <xf numFmtId="167" fontId="4" fillId="0" borderId="42" xfId="783" applyNumberFormat="1" applyFont="1" applyFill="1" applyBorder="1" applyAlignment="1">
      <alignment horizontal="center" vertical="center" wrapText="1"/>
    </xf>
    <xf numFmtId="167" fontId="4" fillId="0" borderId="43" xfId="783" applyNumberFormat="1" applyFont="1" applyFill="1" applyBorder="1" applyAlignment="1">
      <alignment horizontal="center" vertical="center" wrapText="1"/>
    </xf>
    <xf numFmtId="0" fontId="3" fillId="0" borderId="44" xfId="623" applyNumberFormat="1" applyFont="1" applyFill="1" applyBorder="1" applyAlignment="1">
      <alignment horizontal="center" vertical="center" wrapText="1"/>
    </xf>
    <xf numFmtId="167" fontId="4" fillId="0" borderId="44" xfId="783" applyNumberFormat="1" applyFont="1" applyFill="1" applyBorder="1" applyAlignment="1">
      <alignment horizontal="center" vertical="center" wrapText="1"/>
    </xf>
    <xf numFmtId="167" fontId="4" fillId="0" borderId="45" xfId="783" applyNumberFormat="1" applyFont="1" applyFill="1" applyBorder="1" applyAlignment="1">
      <alignment horizontal="center" vertical="center" wrapText="1"/>
    </xf>
    <xf numFmtId="168" fontId="2" fillId="0" borderId="46" xfId="623" applyNumberFormat="1" applyFont="1" applyFill="1" applyBorder="1" applyAlignment="1">
      <alignment horizontal="left" vertical="center" wrapText="1"/>
    </xf>
    <xf numFmtId="167" fontId="12" fillId="0" borderId="11" xfId="778" applyNumberFormat="1" applyFont="1" applyFill="1" applyBorder="1" applyAlignment="1">
      <alignment horizontal="center" vertical="center" wrapText="1"/>
    </xf>
    <xf numFmtId="167" fontId="3" fillId="0" borderId="47" xfId="783" applyNumberFormat="1" applyFont="1" applyFill="1" applyBorder="1" applyAlignment="1">
      <alignment horizontal="center" vertical="center" wrapText="1"/>
    </xf>
    <xf numFmtId="167" fontId="12" fillId="0" borderId="36" xfId="778" applyNumberFormat="1" applyFont="1" applyFill="1" applyBorder="1" applyAlignment="1">
      <alignment horizontal="center" vertical="center" wrapText="1"/>
    </xf>
    <xf numFmtId="167" fontId="12" fillId="0" borderId="2" xfId="778" applyNumberFormat="1" applyFont="1" applyFill="1" applyBorder="1" applyAlignment="1">
      <alignment horizontal="center" vertical="center" wrapText="1"/>
    </xf>
    <xf numFmtId="0" fontId="3" fillId="0" borderId="29" xfId="638" applyFont="1" applyFill="1" applyBorder="1" applyAlignment="1" applyProtection="1">
      <alignment horizontal="left" vertical="center" wrapText="1"/>
    </xf>
    <xf numFmtId="49" fontId="3" fillId="0" borderId="29" xfId="638" applyNumberFormat="1" applyFont="1" applyFill="1" applyBorder="1" applyAlignment="1" applyProtection="1">
      <alignment horizontal="left" vertical="center" wrapText="1"/>
    </xf>
    <xf numFmtId="49" fontId="3" fillId="0" borderId="48" xfId="638" applyNumberFormat="1" applyFont="1" applyFill="1" applyBorder="1" applyAlignment="1" applyProtection="1">
      <alignment horizontal="left" vertical="center" wrapText="1"/>
    </xf>
    <xf numFmtId="168" fontId="3" fillId="0" borderId="49" xfId="638" applyNumberFormat="1" applyFont="1" applyFill="1" applyBorder="1" applyAlignment="1" applyProtection="1">
      <alignment horizontal="center" vertical="center" wrapText="1"/>
    </xf>
    <xf numFmtId="166" fontId="2" fillId="0" borderId="0" xfId="771" applyFont="1" applyFill="1" applyBorder="1" applyAlignment="1">
      <alignment horizontal="center" vertical="center" wrapText="1"/>
    </xf>
    <xf numFmtId="166" fontId="2" fillId="0" borderId="0" xfId="771" applyFont="1" applyFill="1" applyBorder="1" applyAlignment="1">
      <alignment horizontal="left" vertical="center" wrapText="1"/>
    </xf>
    <xf numFmtId="166" fontId="3" fillId="0" borderId="0" xfId="771" applyFont="1" applyFill="1" applyBorder="1" applyAlignment="1" applyProtection="1">
      <alignment horizontal="center" vertical="center" wrapText="1"/>
    </xf>
    <xf numFmtId="166" fontId="3" fillId="0" borderId="0" xfId="771" applyFont="1" applyFill="1" applyBorder="1" applyAlignment="1">
      <alignment horizontal="left" vertical="center" wrapText="1"/>
    </xf>
    <xf numFmtId="166" fontId="4" fillId="0" borderId="0" xfId="771" applyFont="1" applyFill="1" applyBorder="1" applyAlignment="1">
      <alignment horizontal="center" vertical="center" wrapText="1"/>
    </xf>
    <xf numFmtId="166" fontId="6" fillId="0" borderId="0" xfId="771" applyFont="1" applyFill="1" applyBorder="1" applyAlignment="1">
      <alignment horizontal="center" vertical="center" wrapText="1"/>
    </xf>
    <xf numFmtId="166" fontId="2" fillId="0" borderId="0" xfId="771" applyFont="1" applyFill="1" applyBorder="1" applyAlignment="1" applyProtection="1">
      <alignment horizontal="center" vertical="center" wrapText="1"/>
    </xf>
    <xf numFmtId="169" fontId="3" fillId="124" borderId="30" xfId="771" applyNumberFormat="1" applyFont="1" applyFill="1" applyBorder="1" applyAlignment="1">
      <alignment horizontal="center" vertical="center" wrapText="1"/>
    </xf>
    <xf numFmtId="167" fontId="3" fillId="0" borderId="0" xfId="771" applyNumberFormat="1" applyFont="1" applyFill="1" applyBorder="1" applyAlignment="1">
      <alignment horizontal="right" vertical="center" wrapText="1"/>
    </xf>
    <xf numFmtId="167" fontId="2" fillId="0" borderId="0" xfId="771" applyNumberFormat="1" applyFont="1" applyFill="1" applyBorder="1" applyAlignment="1">
      <alignment horizontal="right" vertical="center" wrapText="1"/>
    </xf>
    <xf numFmtId="167" fontId="2" fillId="0" borderId="26" xfId="771" applyNumberFormat="1" applyFont="1" applyFill="1" applyBorder="1" applyAlignment="1">
      <alignment horizontal="center" vertical="center" wrapText="1"/>
    </xf>
    <xf numFmtId="167" fontId="2" fillId="0" borderId="27" xfId="771" applyNumberFormat="1" applyFont="1" applyFill="1" applyBorder="1" applyAlignment="1">
      <alignment horizontal="center" vertical="center" wrapText="1"/>
    </xf>
    <xf numFmtId="167" fontId="2" fillId="0" borderId="0" xfId="771" applyNumberFormat="1" applyFont="1" applyFill="1" applyBorder="1" applyAlignment="1">
      <alignment horizontal="center" vertical="center" wrapText="1"/>
    </xf>
    <xf numFmtId="167" fontId="2" fillId="0" borderId="28" xfId="771" applyNumberFormat="1" applyFont="1" applyFill="1" applyBorder="1" applyAlignment="1">
      <alignment horizontal="center" vertical="center" wrapText="1"/>
    </xf>
    <xf numFmtId="167" fontId="3" fillId="124" borderId="29" xfId="771" applyNumberFormat="1" applyFont="1" applyFill="1" applyBorder="1" applyAlignment="1">
      <alignment horizontal="center" vertical="center" wrapText="1"/>
    </xf>
    <xf numFmtId="167" fontId="3" fillId="0" borderId="30" xfId="771" applyNumberFormat="1" applyFont="1" applyFill="1" applyBorder="1" applyAlignment="1">
      <alignment horizontal="center" vertical="center" wrapText="1"/>
    </xf>
    <xf numFmtId="167" fontId="3" fillId="0" borderId="31" xfId="771" applyNumberFormat="1" applyFont="1" applyFill="1" applyBorder="1" applyAlignment="1">
      <alignment horizontal="center" vertical="center" wrapText="1"/>
    </xf>
    <xf numFmtId="167" fontId="3" fillId="0" borderId="0" xfId="771" applyNumberFormat="1" applyFont="1" applyFill="1" applyBorder="1" applyAlignment="1">
      <alignment horizontal="center" vertical="center" wrapText="1"/>
    </xf>
    <xf numFmtId="167" fontId="2" fillId="0" borderId="28" xfId="771" applyNumberFormat="1" applyFont="1" applyFill="1" applyBorder="1" applyAlignment="1">
      <alignment horizontal="left" vertical="center" wrapText="1"/>
    </xf>
    <xf numFmtId="167" fontId="3" fillId="124" borderId="29" xfId="771" applyNumberFormat="1" applyFont="1" applyFill="1" applyBorder="1" applyAlignment="1" applyProtection="1">
      <alignment horizontal="center" vertical="center" wrapText="1"/>
    </xf>
    <xf numFmtId="167" fontId="3" fillId="0" borderId="29" xfId="771" applyNumberFormat="1" applyFont="1" applyFill="1" applyBorder="1" applyAlignment="1" applyProtection="1">
      <alignment horizontal="center" vertical="center" wrapText="1"/>
    </xf>
    <xf numFmtId="167" fontId="3" fillId="0" borderId="6" xfId="771" applyNumberFormat="1" applyFont="1" applyFill="1" applyBorder="1" applyAlignment="1" applyProtection="1">
      <alignment horizontal="center" vertical="center" wrapText="1"/>
    </xf>
    <xf numFmtId="167" fontId="3" fillId="0" borderId="37" xfId="771" applyNumberFormat="1" applyFont="1" applyFill="1" applyBorder="1" applyAlignment="1" applyProtection="1">
      <alignment horizontal="center" vertical="center" wrapText="1"/>
    </xf>
    <xf numFmtId="167" fontId="3" fillId="124" borderId="6" xfId="771" applyNumberFormat="1" applyFont="1" applyFill="1" applyBorder="1" applyAlignment="1" applyProtection="1">
      <alignment horizontal="center" vertical="center" wrapText="1"/>
    </xf>
    <xf numFmtId="167" fontId="3" fillId="124" borderId="49" xfId="771" applyNumberFormat="1" applyFont="1" applyFill="1" applyBorder="1" applyAlignment="1" applyProtection="1">
      <alignment horizontal="center" vertical="center" wrapText="1"/>
    </xf>
    <xf numFmtId="167" fontId="3" fillId="124" borderId="48" xfId="771" applyNumberFormat="1" applyFont="1" applyFill="1" applyBorder="1" applyAlignment="1" applyProtection="1">
      <alignment horizontal="center" vertical="center" wrapText="1"/>
    </xf>
    <xf numFmtId="167" fontId="3" fillId="0" borderId="48" xfId="771" applyNumberFormat="1" applyFont="1" applyFill="1" applyBorder="1" applyAlignment="1" applyProtection="1">
      <alignment horizontal="center" vertical="center" wrapText="1"/>
    </xf>
    <xf numFmtId="167" fontId="3" fillId="0" borderId="49" xfId="771" applyNumberFormat="1" applyFont="1" applyFill="1" applyBorder="1" applyAlignment="1" applyProtection="1">
      <alignment horizontal="center" vertical="center" wrapText="1"/>
    </xf>
    <xf numFmtId="167" fontId="3" fillId="0" borderId="50" xfId="771" applyNumberFormat="1" applyFont="1" applyFill="1" applyBorder="1" applyAlignment="1" applyProtection="1">
      <alignment horizontal="center" vertical="center" wrapText="1"/>
    </xf>
    <xf numFmtId="167" fontId="3" fillId="124" borderId="37" xfId="771" applyNumberFormat="1" applyFont="1" applyFill="1" applyBorder="1" applyAlignment="1" applyProtection="1">
      <alignment horizontal="center" vertical="center" wrapText="1"/>
    </xf>
    <xf numFmtId="167" fontId="3" fillId="0" borderId="32" xfId="771" applyNumberFormat="1" applyFont="1" applyFill="1" applyBorder="1" applyAlignment="1">
      <alignment horizontal="center" vertical="center" wrapText="1"/>
    </xf>
    <xf numFmtId="167" fontId="3" fillId="0" borderId="29" xfId="771" applyNumberFormat="1" applyFont="1" applyFill="1" applyBorder="1" applyAlignment="1">
      <alignment horizontal="center" vertical="center" wrapText="1"/>
    </xf>
    <xf numFmtId="167" fontId="3" fillId="124" borderId="30" xfId="771" applyNumberFormat="1" applyFont="1" applyFill="1" applyBorder="1" applyAlignment="1" applyProtection="1">
      <alignment horizontal="center" vertical="center" wrapText="1"/>
    </xf>
    <xf numFmtId="167" fontId="3" fillId="124" borderId="30" xfId="771" applyNumberFormat="1" applyFont="1" applyFill="1" applyBorder="1" applyAlignment="1">
      <alignment horizontal="center" vertical="center" wrapText="1"/>
    </xf>
    <xf numFmtId="167" fontId="3" fillId="0" borderId="30" xfId="771" applyNumberFormat="1" applyFont="1" applyFill="1" applyBorder="1" applyAlignment="1" applyProtection="1">
      <alignment horizontal="center" vertical="center" wrapText="1"/>
    </xf>
    <xf numFmtId="167" fontId="12" fillId="0" borderId="11" xfId="771" applyNumberFormat="1" applyFont="1" applyFill="1" applyBorder="1" applyAlignment="1">
      <alignment horizontal="center" vertical="center" wrapText="1"/>
    </xf>
    <xf numFmtId="167" fontId="12" fillId="124" borderId="11" xfId="771" applyNumberFormat="1" applyFont="1" applyFill="1" applyBorder="1" applyAlignment="1">
      <alignment horizontal="center" vertical="center" wrapText="1"/>
    </xf>
    <xf numFmtId="167" fontId="12" fillId="0" borderId="36" xfId="771" applyNumberFormat="1" applyFont="1" applyFill="1" applyBorder="1" applyAlignment="1">
      <alignment horizontal="center" vertical="center" wrapText="1"/>
    </xf>
    <xf numFmtId="167" fontId="3" fillId="0" borderId="47" xfId="771" applyNumberFormat="1" applyFont="1" applyFill="1" applyBorder="1" applyAlignment="1">
      <alignment horizontal="center" vertical="center" wrapText="1"/>
    </xf>
    <xf numFmtId="167" fontId="12" fillId="0" borderId="2" xfId="771" applyNumberFormat="1" applyFont="1" applyFill="1" applyBorder="1" applyAlignment="1">
      <alignment horizontal="center" vertical="center" wrapText="1"/>
    </xf>
    <xf numFmtId="167" fontId="3" fillId="0" borderId="2" xfId="771" applyNumberFormat="1" applyFont="1" applyFill="1" applyBorder="1" applyAlignment="1">
      <alignment horizontal="center" vertical="center" wrapText="1"/>
    </xf>
    <xf numFmtId="167" fontId="2" fillId="0" borderId="31" xfId="771" applyNumberFormat="1" applyFont="1" applyFill="1" applyBorder="1" applyAlignment="1">
      <alignment horizontal="center" vertical="center" wrapText="1"/>
    </xf>
    <xf numFmtId="167" fontId="4" fillId="0" borderId="26" xfId="771" applyNumberFormat="1" applyFont="1" applyFill="1" applyBorder="1" applyAlignment="1">
      <alignment horizontal="center" vertical="center" wrapText="1"/>
    </xf>
    <xf numFmtId="167" fontId="4" fillId="0" borderId="0" xfId="771" applyNumberFormat="1" applyFont="1" applyFill="1" applyBorder="1" applyAlignment="1">
      <alignment vertical="center" wrapText="1"/>
    </xf>
    <xf numFmtId="167" fontId="4" fillId="0" borderId="0" xfId="771" applyNumberFormat="1" applyFont="1" applyFill="1" applyBorder="1" applyAlignment="1">
      <alignment horizontal="center" vertical="center" wrapText="1"/>
    </xf>
    <xf numFmtId="167" fontId="4" fillId="0" borderId="31" xfId="771" applyNumberFormat="1" applyFont="1" applyFill="1" applyBorder="1" applyAlignment="1">
      <alignment horizontal="center" vertical="center" wrapText="1"/>
    </xf>
    <xf numFmtId="167" fontId="4" fillId="0" borderId="44" xfId="771" applyNumberFormat="1" applyFont="1" applyFill="1" applyBorder="1" applyAlignment="1">
      <alignment horizontal="center" vertical="center" wrapText="1"/>
    </xf>
    <xf numFmtId="167" fontId="4" fillId="0" borderId="45" xfId="771" applyNumberFormat="1" applyFont="1" applyFill="1" applyBorder="1" applyAlignment="1">
      <alignment horizontal="center" vertical="center" wrapText="1"/>
    </xf>
    <xf numFmtId="167" fontId="4" fillId="0" borderId="42" xfId="771" applyNumberFormat="1" applyFont="1" applyFill="1" applyBorder="1" applyAlignment="1">
      <alignment horizontal="center" vertical="center" wrapText="1"/>
    </xf>
    <xf numFmtId="167" fontId="4" fillId="0" borderId="43" xfId="771" applyNumberFormat="1" applyFont="1" applyFill="1" applyBorder="1" applyAlignment="1">
      <alignment horizontal="center" vertical="center" wrapText="1"/>
    </xf>
    <xf numFmtId="167" fontId="4" fillId="0" borderId="39" xfId="771" applyNumberFormat="1" applyFont="1" applyFill="1" applyBorder="1" applyAlignment="1">
      <alignment horizontal="center" vertical="center" wrapText="1"/>
    </xf>
    <xf numFmtId="167" fontId="4" fillId="0" borderId="40" xfId="771" applyNumberFormat="1" applyFont="1" applyFill="1" applyBorder="1" applyAlignment="1">
      <alignment horizontal="center" vertical="center" wrapText="1"/>
    </xf>
    <xf numFmtId="167" fontId="3" fillId="0" borderId="0" xfId="771" applyNumberFormat="1" applyFont="1" applyFill="1" applyBorder="1" applyAlignment="1">
      <alignment horizontal="left" vertical="center" wrapText="1"/>
    </xf>
    <xf numFmtId="167" fontId="3" fillId="0" borderId="31" xfId="771" applyNumberFormat="1" applyFont="1" applyFill="1" applyBorder="1" applyAlignment="1" applyProtection="1">
      <alignment horizontal="center" vertical="center" wrapText="1"/>
    </xf>
    <xf numFmtId="167" fontId="3" fillId="0" borderId="0" xfId="771" applyNumberFormat="1" applyFont="1" applyFill="1" applyBorder="1" applyAlignment="1" applyProtection="1">
      <alignment horizontal="center" vertical="center" wrapText="1"/>
    </xf>
    <xf numFmtId="167" fontId="3" fillId="0" borderId="2" xfId="771" applyNumberFormat="1" applyFont="1" applyFill="1" applyBorder="1" applyAlignment="1">
      <alignment horizontal="left" vertical="center" wrapText="1"/>
    </xf>
    <xf numFmtId="167" fontId="3" fillId="0" borderId="0" xfId="771" applyNumberFormat="1" applyFont="1" applyFill="1" applyBorder="1" applyAlignment="1">
      <alignment vertical="center" wrapText="1"/>
    </xf>
    <xf numFmtId="167" fontId="6" fillId="124" borderId="26" xfId="771" applyNumberFormat="1" applyFont="1" applyFill="1" applyBorder="1" applyAlignment="1">
      <alignment horizontal="center" vertical="center" wrapText="1"/>
    </xf>
    <xf numFmtId="167" fontId="6" fillId="0" borderId="26" xfId="771" applyNumberFormat="1" applyFont="1" applyFill="1" applyBorder="1" applyAlignment="1">
      <alignment horizontal="center" vertical="center" wrapText="1"/>
    </xf>
    <xf numFmtId="167" fontId="2" fillId="0" borderId="0" xfId="771" applyNumberFormat="1" applyFont="1" applyFill="1" applyBorder="1" applyAlignment="1" applyProtection="1">
      <alignment vertical="center" wrapText="1"/>
    </xf>
    <xf numFmtId="169" fontId="3" fillId="0" borderId="30" xfId="771" applyNumberFormat="1" applyFont="1" applyFill="1" applyBorder="1" applyAlignment="1">
      <alignment horizontal="center" vertical="center" wrapText="1"/>
    </xf>
    <xf numFmtId="167" fontId="3" fillId="0" borderId="51" xfId="783" applyNumberFormat="1" applyFont="1" applyFill="1" applyBorder="1" applyAlignment="1">
      <alignment horizontal="center" vertical="center" wrapText="1"/>
    </xf>
    <xf numFmtId="0" fontId="3" fillId="0" borderId="51" xfId="623" applyNumberFormat="1" applyFont="1" applyFill="1" applyBorder="1" applyAlignment="1">
      <alignment horizontal="left" vertical="center" wrapText="1"/>
    </xf>
    <xf numFmtId="0" fontId="3" fillId="0" borderId="52" xfId="638" applyNumberFormat="1" applyFont="1" applyFill="1" applyBorder="1" applyAlignment="1" applyProtection="1">
      <alignment horizontal="left" vertical="center" wrapText="1"/>
    </xf>
    <xf numFmtId="167" fontId="3" fillId="0" borderId="52" xfId="783" applyNumberFormat="1" applyFont="1" applyFill="1" applyBorder="1" applyAlignment="1" applyProtection="1">
      <alignment horizontal="center" vertical="center" wrapText="1"/>
    </xf>
    <xf numFmtId="167" fontId="3" fillId="0" borderId="35" xfId="771" applyNumberFormat="1" applyFont="1" applyFill="1" applyBorder="1" applyAlignment="1">
      <alignment horizontal="center" vertical="center" wrapText="1"/>
    </xf>
    <xf numFmtId="0" fontId="3" fillId="0" borderId="2" xfId="638" applyNumberFormat="1" applyFont="1" applyFill="1" applyBorder="1" applyAlignment="1" applyProtection="1">
      <alignment horizontal="left" vertical="center" wrapText="1"/>
    </xf>
    <xf numFmtId="167" fontId="3" fillId="0" borderId="2" xfId="783" applyNumberFormat="1" applyFont="1" applyFill="1" applyBorder="1" applyAlignment="1" applyProtection="1">
      <alignment horizontal="center" vertical="center" wrapText="1"/>
    </xf>
    <xf numFmtId="0" fontId="3" fillId="0" borderId="52" xfId="626" applyNumberFormat="1" applyFont="1" applyFill="1" applyBorder="1" applyAlignment="1">
      <alignment horizontal="left" vertical="center" wrapText="1"/>
    </xf>
    <xf numFmtId="167" fontId="3" fillId="0" borderId="2" xfId="771" applyNumberFormat="1" applyFont="1" applyFill="1" applyBorder="1" applyAlignment="1" applyProtection="1">
      <alignment horizontal="center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0" fontId="2" fillId="0" borderId="64" xfId="623" applyNumberFormat="1" applyFont="1" applyFill="1" applyBorder="1" applyAlignment="1">
      <alignment horizontal="center" vertical="center" wrapText="1"/>
    </xf>
    <xf numFmtId="0" fontId="3" fillId="0" borderId="65" xfId="626" applyNumberFormat="1" applyFont="1" applyFill="1" applyBorder="1" applyAlignment="1">
      <alignment horizontal="center" vertical="center" wrapText="1"/>
    </xf>
    <xf numFmtId="0" fontId="3" fillId="0" borderId="65" xfId="638" applyNumberFormat="1" applyFont="1" applyFill="1" applyBorder="1" applyAlignment="1" applyProtection="1">
      <alignment horizontal="center" vertical="center" wrapText="1"/>
    </xf>
    <xf numFmtId="0" fontId="3" fillId="0" borderId="66" xfId="626" applyNumberFormat="1" applyFont="1" applyFill="1" applyBorder="1" applyAlignment="1">
      <alignment horizontal="left" vertical="center" wrapText="1"/>
    </xf>
    <xf numFmtId="168" fontId="3" fillId="0" borderId="67" xfId="623" applyNumberFormat="1" applyFont="1" applyFill="1" applyBorder="1" applyAlignment="1">
      <alignment horizontal="left" vertical="center" wrapText="1"/>
    </xf>
    <xf numFmtId="168" fontId="3" fillId="0" borderId="63" xfId="623" applyNumberFormat="1" applyFont="1" applyFill="1" applyBorder="1" applyAlignment="1">
      <alignment horizontal="left" vertical="center" wrapText="1"/>
    </xf>
    <xf numFmtId="167" fontId="3" fillId="0" borderId="34" xfId="771" applyNumberFormat="1" applyFont="1" applyFill="1" applyBorder="1" applyAlignment="1" applyProtection="1">
      <alignment horizontal="center" vertical="center" wrapText="1"/>
    </xf>
    <xf numFmtId="168" fontId="3" fillId="0" borderId="2" xfId="638" applyNumberFormat="1" applyFont="1" applyFill="1" applyBorder="1" applyAlignment="1" applyProtection="1">
      <alignment horizontal="center" vertical="center" wrapText="1"/>
    </xf>
    <xf numFmtId="168" fontId="3" fillId="0" borderId="67" xfId="638" applyNumberFormat="1" applyFont="1" applyFill="1" applyBorder="1" applyAlignment="1" applyProtection="1">
      <alignment horizontal="center" vertical="center" wrapText="1"/>
    </xf>
    <xf numFmtId="0" fontId="3" fillId="0" borderId="65" xfId="623" applyNumberFormat="1" applyFont="1" applyFill="1" applyBorder="1" applyAlignment="1">
      <alignment horizontal="center" vertical="center" wrapText="1"/>
    </xf>
    <xf numFmtId="0" fontId="3" fillId="0" borderId="65" xfId="623" applyNumberFormat="1" applyFont="1" applyFill="1" applyBorder="1" applyAlignment="1" applyProtection="1">
      <alignment horizontal="center" vertical="center" wrapText="1"/>
    </xf>
    <xf numFmtId="0" fontId="3" fillId="0" borderId="47" xfId="623" applyNumberFormat="1" applyFont="1" applyFill="1" applyBorder="1" applyAlignment="1" applyProtection="1">
      <alignment horizontal="center" vertical="center" wrapText="1"/>
    </xf>
    <xf numFmtId="0" fontId="3" fillId="0" borderId="47" xfId="638" applyNumberFormat="1" applyFont="1" applyFill="1" applyBorder="1" applyAlignment="1" applyProtection="1">
      <alignment horizontal="center" vertical="center" wrapText="1"/>
    </xf>
    <xf numFmtId="167" fontId="12" fillId="0" borderId="51" xfId="771" applyNumberFormat="1" applyFont="1" applyFill="1" applyBorder="1" applyAlignment="1">
      <alignment horizontal="center" vertical="center" wrapText="1"/>
    </xf>
    <xf numFmtId="167" fontId="12" fillId="0" borderId="52" xfId="771" applyNumberFormat="1" applyFont="1" applyFill="1" applyBorder="1" applyAlignment="1">
      <alignment horizontal="center" vertical="center" wrapText="1"/>
    </xf>
    <xf numFmtId="167" fontId="12" fillId="0" borderId="29" xfId="771" applyNumberFormat="1" applyFont="1" applyFill="1" applyBorder="1" applyAlignment="1">
      <alignment horizontal="center" vertical="center" wrapText="1"/>
    </xf>
    <xf numFmtId="0" fontId="3" fillId="0" borderId="66" xfId="638" applyNumberFormat="1" applyFont="1" applyFill="1" applyBorder="1" applyAlignment="1" applyProtection="1">
      <alignment horizontal="left" vertical="center" wrapText="1"/>
    </xf>
    <xf numFmtId="0" fontId="3" fillId="0" borderId="67" xfId="638" applyNumberFormat="1" applyFont="1" applyFill="1" applyBorder="1" applyAlignment="1" applyProtection="1">
      <alignment horizontal="left" vertical="center" wrapText="1"/>
    </xf>
    <xf numFmtId="167" fontId="3" fillId="0" borderId="68" xfId="771" applyNumberFormat="1" applyFont="1" applyFill="1" applyBorder="1" applyAlignment="1">
      <alignment horizontal="center" vertical="center" wrapText="1"/>
    </xf>
    <xf numFmtId="168" fontId="3" fillId="0" borderId="69" xfId="623" applyNumberFormat="1" applyFont="1" applyFill="1" applyBorder="1" applyAlignment="1">
      <alignment horizontal="left" vertical="center" wrapText="1"/>
    </xf>
    <xf numFmtId="0" fontId="3" fillId="0" borderId="23" xfId="638" applyNumberFormat="1" applyFont="1" applyFill="1" applyBorder="1" applyAlignment="1" applyProtection="1">
      <alignment horizontal="left" vertical="center" wrapText="1"/>
    </xf>
    <xf numFmtId="167" fontId="3" fillId="0" borderId="23" xfId="783" applyNumberFormat="1" applyFont="1" applyFill="1" applyBorder="1" applyAlignment="1" applyProtection="1">
      <alignment horizontal="center" vertical="center" wrapText="1"/>
    </xf>
    <xf numFmtId="167" fontId="3" fillId="0" borderId="32" xfId="783" applyNumberFormat="1" applyFont="1" applyFill="1" applyBorder="1" applyAlignment="1" applyProtection="1">
      <alignment horizontal="center" vertical="center" wrapText="1"/>
    </xf>
    <xf numFmtId="167" fontId="3" fillId="0" borderId="32" xfId="771" applyNumberFormat="1" applyFont="1" applyFill="1" applyBorder="1" applyAlignment="1" applyProtection="1">
      <alignment horizontal="center" vertical="center" wrapText="1"/>
    </xf>
    <xf numFmtId="167" fontId="2" fillId="0" borderId="0" xfId="783" applyNumberFormat="1" applyFont="1" applyFill="1" applyBorder="1" applyAlignment="1" applyProtection="1">
      <alignment horizontal="right" vertical="center" wrapText="1"/>
    </xf>
    <xf numFmtId="0" fontId="2" fillId="0" borderId="0" xfId="623" applyFont="1" applyFill="1" applyBorder="1" applyAlignment="1">
      <alignment horizontal="right" vertical="center" wrapText="1"/>
    </xf>
    <xf numFmtId="168" fontId="2" fillId="0" borderId="0" xfId="623" applyNumberFormat="1" applyFont="1" applyFill="1" applyBorder="1" applyAlignment="1">
      <alignment horizontal="center" vertical="center" wrapText="1"/>
    </xf>
    <xf numFmtId="168" fontId="4" fillId="0" borderId="53" xfId="623" applyNumberFormat="1" applyFont="1" applyFill="1" applyBorder="1" applyAlignment="1">
      <alignment horizontal="right" vertical="center" wrapText="1"/>
    </xf>
    <xf numFmtId="168" fontId="2" fillId="0" borderId="54" xfId="623" applyNumberFormat="1" applyFont="1" applyFill="1" applyBorder="1" applyAlignment="1">
      <alignment horizontal="center" vertical="center" wrapText="1"/>
    </xf>
    <xf numFmtId="168" fontId="2" fillId="0" borderId="32" xfId="623" applyNumberFormat="1" applyFont="1" applyFill="1" applyBorder="1" applyAlignment="1">
      <alignment horizontal="center" vertical="center" wrapText="1"/>
    </xf>
    <xf numFmtId="167" fontId="4" fillId="0" borderId="55" xfId="783" applyNumberFormat="1" applyFont="1" applyFill="1" applyBorder="1" applyAlignment="1">
      <alignment horizontal="center" vertical="center" wrapText="1"/>
    </xf>
    <xf numFmtId="167" fontId="4" fillId="0" borderId="56" xfId="783" applyNumberFormat="1" applyFont="1" applyFill="1" applyBorder="1" applyAlignment="1">
      <alignment horizontal="center" vertical="center" wrapText="1"/>
    </xf>
    <xf numFmtId="167" fontId="2" fillId="0" borderId="0" xfId="771" applyNumberFormat="1" applyFont="1" applyFill="1" applyBorder="1" applyAlignment="1" applyProtection="1">
      <alignment horizontal="right" vertical="center" wrapText="1"/>
    </xf>
    <xf numFmtId="167" fontId="4" fillId="0" borderId="55" xfId="771" applyNumberFormat="1" applyFont="1" applyFill="1" applyBorder="1" applyAlignment="1">
      <alignment horizontal="center" vertical="center" wrapText="1"/>
    </xf>
    <xf numFmtId="167" fontId="4" fillId="0" borderId="56" xfId="771" applyNumberFormat="1" applyFont="1" applyFill="1" applyBorder="1" applyAlignment="1">
      <alignment horizontal="center" vertical="center" wrapText="1"/>
    </xf>
  </cellXfs>
  <cellStyles count="832">
    <cellStyle name=" 1" xfId="1"/>
    <cellStyle name="_2008г. и 4кв" xfId="2"/>
    <cellStyle name="_4_macro 2009" xfId="3"/>
    <cellStyle name="_Condition-long(2012-2030)нах" xfId="4"/>
    <cellStyle name="_CPI foodimp" xfId="5"/>
    <cellStyle name="_macro 2012 var 1" xfId="6"/>
    <cellStyle name="_SeriesAttributes" xfId="7"/>
    <cellStyle name="_v2008-2012-15.12.09вар(2)-11.2030" xfId="8"/>
    <cellStyle name="_v-2013-2030- 2b17.01.11Нах-cpiнов. курс inn 1-2-Е1xls" xfId="9"/>
    <cellStyle name="_Газ-расчет-16 0508Клдо 2023" xfId="10"/>
    <cellStyle name="_Газ-расчет-net-back 21,12.09 до 2030 в2" xfId="11"/>
    <cellStyle name="_ИПЦЖКХ2105 08-до 2023вар1" xfId="12"/>
    <cellStyle name="_Книга1" xfId="13"/>
    <cellStyle name="_Книга3" xfId="14"/>
    <cellStyle name="_Копия Condition-все вар13.12.08" xfId="15"/>
    <cellStyle name="_курсовые разницы 01,06,08" xfId="16"/>
    <cellStyle name="_Макро_2030 год" xfId="17"/>
    <cellStyle name="_Модель - 2(23)" xfId="18"/>
    <cellStyle name="_Правила заполнения" xfId="19"/>
    <cellStyle name="_Сб-macro 2020" xfId="20"/>
    <cellStyle name="_Сб-macro 2020_v2008-2012-15.12.09вар(2)-11.2030" xfId="21"/>
    <cellStyle name="_Сб-macro 2020_v2008-2012-23.09.09вар2а-11" xfId="22"/>
    <cellStyle name="_ЦФ  реализация акций 2008-2010" xfId="23"/>
    <cellStyle name="_ЦФ  реализация акций 2008-2010_акции по годам 2009-2012" xfId="24"/>
    <cellStyle name="_ЦФ  реализация акций 2008-2010_Копия Прогноз ПТРдо 2030г  (3)" xfId="25"/>
    <cellStyle name="_ЦФ  реализация акций 2008-2010_Прогноз ПТРдо 2030г." xfId="26"/>
    <cellStyle name="1Normal" xfId="27"/>
    <cellStyle name="20% - Accent1" xfId="28"/>
    <cellStyle name="20% - Accent2" xfId="29"/>
    <cellStyle name="20% - Accent3" xfId="30"/>
    <cellStyle name="20% - Accent4" xfId="31"/>
    <cellStyle name="20% - Accent5" xfId="32"/>
    <cellStyle name="20% - Accent6" xfId="33"/>
    <cellStyle name="20% - Акцент1 2" xfId="34"/>
    <cellStyle name="20% - Акцент2 2" xfId="35"/>
    <cellStyle name="20% - Акцент3 2" xfId="36"/>
    <cellStyle name="20% - Акцент4 2" xfId="37"/>
    <cellStyle name="20% - Акцент5 2" xfId="38"/>
    <cellStyle name="20% - Акцент6 2" xfId="39"/>
    <cellStyle name="40% - Accent1" xfId="40"/>
    <cellStyle name="40% - Accent2" xfId="41"/>
    <cellStyle name="40% - Accent3" xfId="42"/>
    <cellStyle name="40% - Accent4" xfId="43"/>
    <cellStyle name="40% - Accent5" xfId="44"/>
    <cellStyle name="40% - Accent6" xfId="45"/>
    <cellStyle name="40% - Акцент1 2" xfId="46"/>
    <cellStyle name="40% - Акцент2 2" xfId="47"/>
    <cellStyle name="40% - Акцент3 2" xfId="48"/>
    <cellStyle name="40% - Акцент4 2" xfId="49"/>
    <cellStyle name="40% - Акцент5 2" xfId="50"/>
    <cellStyle name="40% - Акцент6 2" xfId="51"/>
    <cellStyle name="60% - Accent1" xfId="52"/>
    <cellStyle name="60% - Accent2" xfId="53"/>
    <cellStyle name="60% - Accent3" xfId="54"/>
    <cellStyle name="60% - Accent4" xfId="55"/>
    <cellStyle name="60% - Accent5" xfId="56"/>
    <cellStyle name="60% - Accent6" xfId="57"/>
    <cellStyle name="60% - Акцент1 2" xfId="58"/>
    <cellStyle name="60% - Акцент2 2" xfId="59"/>
    <cellStyle name="60% - Акцент3 2" xfId="60"/>
    <cellStyle name="60% - Акцент4 2" xfId="61"/>
    <cellStyle name="60% - Акцент5 2" xfId="62"/>
    <cellStyle name="60% - Акцент6 2" xfId="63"/>
    <cellStyle name="Accent1" xfId="64"/>
    <cellStyle name="Accent1 - 20%" xfId="65"/>
    <cellStyle name="Accent1 - 20% 2" xfId="66"/>
    <cellStyle name="Accent1 - 20% 3" xfId="67"/>
    <cellStyle name="Accent1 - 20% 4" xfId="68"/>
    <cellStyle name="Accent1 - 20% 5" xfId="69"/>
    <cellStyle name="Accent1 - 20% 6" xfId="70"/>
    <cellStyle name="Accent1 - 20%_Книга1" xfId="71"/>
    <cellStyle name="Accent1 - 40%" xfId="72"/>
    <cellStyle name="Accent1 - 40% 2" xfId="73"/>
    <cellStyle name="Accent1 - 40% 3" xfId="74"/>
    <cellStyle name="Accent1 - 40% 4" xfId="75"/>
    <cellStyle name="Accent1 - 40% 5" xfId="76"/>
    <cellStyle name="Accent1 - 40% 6" xfId="77"/>
    <cellStyle name="Accent1 - 40%_Книга1" xfId="78"/>
    <cellStyle name="Accent1 - 60%" xfId="79"/>
    <cellStyle name="Accent1 - 60% 2" xfId="80"/>
    <cellStyle name="Accent1 - 60% 3" xfId="81"/>
    <cellStyle name="Accent1 - 60% 4" xfId="82"/>
    <cellStyle name="Accent1 - 60% 5" xfId="83"/>
    <cellStyle name="Accent1 - 60% 6" xfId="84"/>
    <cellStyle name="Accent1_акции по годам 2009-2012" xfId="85"/>
    <cellStyle name="Accent2" xfId="86"/>
    <cellStyle name="Accent2 - 20%" xfId="87"/>
    <cellStyle name="Accent2 - 20% 2" xfId="88"/>
    <cellStyle name="Accent2 - 20% 3" xfId="89"/>
    <cellStyle name="Accent2 - 20% 4" xfId="90"/>
    <cellStyle name="Accent2 - 20% 5" xfId="91"/>
    <cellStyle name="Accent2 - 20% 6" xfId="92"/>
    <cellStyle name="Accent2 - 20%_Книга1" xfId="93"/>
    <cellStyle name="Accent2 - 40%" xfId="94"/>
    <cellStyle name="Accent2 - 40% 2" xfId="95"/>
    <cellStyle name="Accent2 - 40% 3" xfId="96"/>
    <cellStyle name="Accent2 - 40% 4" xfId="97"/>
    <cellStyle name="Accent2 - 40% 5" xfId="98"/>
    <cellStyle name="Accent2 - 40% 6" xfId="99"/>
    <cellStyle name="Accent2 - 40%_Книга1" xfId="100"/>
    <cellStyle name="Accent2 - 60%" xfId="101"/>
    <cellStyle name="Accent2 - 60% 2" xfId="102"/>
    <cellStyle name="Accent2 - 60% 3" xfId="103"/>
    <cellStyle name="Accent2 - 60% 4" xfId="104"/>
    <cellStyle name="Accent2 - 60% 5" xfId="105"/>
    <cellStyle name="Accent2 - 60% 6" xfId="106"/>
    <cellStyle name="Accent2_акции по годам 2009-2012" xfId="107"/>
    <cellStyle name="Accent3" xfId="108"/>
    <cellStyle name="Accent3 - 20%" xfId="109"/>
    <cellStyle name="Accent3 - 20% 2" xfId="110"/>
    <cellStyle name="Accent3 - 20% 3" xfId="111"/>
    <cellStyle name="Accent3 - 20% 4" xfId="112"/>
    <cellStyle name="Accent3 - 20% 5" xfId="113"/>
    <cellStyle name="Accent3 - 20% 6" xfId="114"/>
    <cellStyle name="Accent3 - 20%_Книга1" xfId="115"/>
    <cellStyle name="Accent3 - 40%" xfId="116"/>
    <cellStyle name="Accent3 - 40% 2" xfId="117"/>
    <cellStyle name="Accent3 - 40% 3" xfId="118"/>
    <cellStyle name="Accent3 - 40% 4" xfId="119"/>
    <cellStyle name="Accent3 - 40% 5" xfId="120"/>
    <cellStyle name="Accent3 - 40% 6" xfId="121"/>
    <cellStyle name="Accent3 - 40%_Книга1" xfId="122"/>
    <cellStyle name="Accent3 - 60%" xfId="123"/>
    <cellStyle name="Accent3 - 60% 2" xfId="124"/>
    <cellStyle name="Accent3 - 60% 3" xfId="125"/>
    <cellStyle name="Accent3 - 60% 4" xfId="126"/>
    <cellStyle name="Accent3 - 60% 5" xfId="127"/>
    <cellStyle name="Accent3 - 60% 6" xfId="128"/>
    <cellStyle name="Accent3_7-р" xfId="129"/>
    <cellStyle name="Accent4" xfId="130"/>
    <cellStyle name="Accent4 - 20%" xfId="131"/>
    <cellStyle name="Accent4 - 20% 2" xfId="132"/>
    <cellStyle name="Accent4 - 20% 3" xfId="133"/>
    <cellStyle name="Accent4 - 20% 4" xfId="134"/>
    <cellStyle name="Accent4 - 20% 5" xfId="135"/>
    <cellStyle name="Accent4 - 20% 6" xfId="136"/>
    <cellStyle name="Accent4 - 20%_Книга1" xfId="137"/>
    <cellStyle name="Accent4 - 40%" xfId="138"/>
    <cellStyle name="Accent4 - 40% 2" xfId="139"/>
    <cellStyle name="Accent4 - 40% 3" xfId="140"/>
    <cellStyle name="Accent4 - 40% 4" xfId="141"/>
    <cellStyle name="Accent4 - 40% 5" xfId="142"/>
    <cellStyle name="Accent4 - 40% 6" xfId="143"/>
    <cellStyle name="Accent4 - 40%_Книга1" xfId="144"/>
    <cellStyle name="Accent4 - 60%" xfId="145"/>
    <cellStyle name="Accent4 - 60% 2" xfId="146"/>
    <cellStyle name="Accent4 - 60% 3" xfId="147"/>
    <cellStyle name="Accent4 - 60% 4" xfId="148"/>
    <cellStyle name="Accent4 - 60% 5" xfId="149"/>
    <cellStyle name="Accent4 - 60% 6" xfId="150"/>
    <cellStyle name="Accent4_7-р" xfId="151"/>
    <cellStyle name="Accent5" xfId="152"/>
    <cellStyle name="Accent5 - 20%" xfId="153"/>
    <cellStyle name="Accent5 - 20% 2" xfId="154"/>
    <cellStyle name="Accent5 - 20% 3" xfId="155"/>
    <cellStyle name="Accent5 - 20% 4" xfId="156"/>
    <cellStyle name="Accent5 - 20% 5" xfId="157"/>
    <cellStyle name="Accent5 - 20% 6" xfId="158"/>
    <cellStyle name="Accent5 - 20%_Книга1" xfId="159"/>
    <cellStyle name="Accent5 - 40%" xfId="160"/>
    <cellStyle name="Accent5 - 60%" xfId="161"/>
    <cellStyle name="Accent5 - 60% 2" xfId="162"/>
    <cellStyle name="Accent5 - 60% 3" xfId="163"/>
    <cellStyle name="Accent5 - 60% 4" xfId="164"/>
    <cellStyle name="Accent5 - 60% 5" xfId="165"/>
    <cellStyle name="Accent5 - 60% 6" xfId="166"/>
    <cellStyle name="Accent5_7-р" xfId="167"/>
    <cellStyle name="Accent6" xfId="168"/>
    <cellStyle name="Accent6 - 20%" xfId="169"/>
    <cellStyle name="Accent6 - 40%" xfId="170"/>
    <cellStyle name="Accent6 - 40% 2" xfId="171"/>
    <cellStyle name="Accent6 - 40% 3" xfId="172"/>
    <cellStyle name="Accent6 - 40% 4" xfId="173"/>
    <cellStyle name="Accent6 - 40% 5" xfId="174"/>
    <cellStyle name="Accent6 - 40% 6" xfId="175"/>
    <cellStyle name="Accent6 - 40%_Книга1" xfId="176"/>
    <cellStyle name="Accent6 - 60%" xfId="177"/>
    <cellStyle name="Accent6 - 60% 2" xfId="178"/>
    <cellStyle name="Accent6 - 60% 3" xfId="179"/>
    <cellStyle name="Accent6 - 60% 4" xfId="180"/>
    <cellStyle name="Accent6 - 60% 5" xfId="181"/>
    <cellStyle name="Accent6 - 60% 6" xfId="182"/>
    <cellStyle name="Accent6_7-р" xfId="183"/>
    <cellStyle name="Annotations Cell - PerformancePoint" xfId="184"/>
    <cellStyle name="Arial007000001514155735" xfId="185"/>
    <cellStyle name="Arial007000001514155735 2" xfId="186"/>
    <cellStyle name="Arial0070000015536870911" xfId="187"/>
    <cellStyle name="Arial0070000015536870911 2" xfId="188"/>
    <cellStyle name="Arial007000001565535" xfId="189"/>
    <cellStyle name="Arial007000001565535 2" xfId="190"/>
    <cellStyle name="Arial0110010000536870911" xfId="191"/>
    <cellStyle name="Arial01101000015536870911" xfId="192"/>
    <cellStyle name="Arial017010000536870911" xfId="193"/>
    <cellStyle name="Arial018000000536870911" xfId="194"/>
    <cellStyle name="Arial10170100015536870911" xfId="195"/>
    <cellStyle name="Arial10170100015536870911 2" xfId="196"/>
    <cellStyle name="Arial107000000536870911" xfId="197"/>
    <cellStyle name="Arial107000001514155735" xfId="198"/>
    <cellStyle name="Arial107000001514155735 2" xfId="199"/>
    <cellStyle name="Arial107000001514155735FMT" xfId="200"/>
    <cellStyle name="Arial107000001514155735FMT 2" xfId="201"/>
    <cellStyle name="Arial1070000015536870911" xfId="202"/>
    <cellStyle name="Arial1070000015536870911 2" xfId="203"/>
    <cellStyle name="Arial1070000015536870911FMT" xfId="204"/>
    <cellStyle name="Arial1070000015536870911FMT 2" xfId="205"/>
    <cellStyle name="Arial107000001565535" xfId="206"/>
    <cellStyle name="Arial107000001565535 2" xfId="207"/>
    <cellStyle name="Arial107000001565535FMT" xfId="208"/>
    <cellStyle name="Arial107000001565535FMT 2" xfId="209"/>
    <cellStyle name="Arial117100000536870911" xfId="210"/>
    <cellStyle name="Arial118000000536870911" xfId="211"/>
    <cellStyle name="Arial2110100000536870911" xfId="212"/>
    <cellStyle name="Arial21101000015536870911" xfId="213"/>
    <cellStyle name="Arial2170000015536870911" xfId="214"/>
    <cellStyle name="Arial2170000015536870911 2" xfId="215"/>
    <cellStyle name="Arial2170000015536870911FMT" xfId="216"/>
    <cellStyle name="Arial2170000015536870911FMT 2" xfId="217"/>
    <cellStyle name="Bad" xfId="218"/>
    <cellStyle name="Calc Currency (0)" xfId="219"/>
    <cellStyle name="Calc Currency (2)" xfId="220"/>
    <cellStyle name="Calc Percent (0)" xfId="221"/>
    <cellStyle name="Calc Percent (1)" xfId="222"/>
    <cellStyle name="Calc Percent (2)" xfId="223"/>
    <cellStyle name="Calc Units (0)" xfId="224"/>
    <cellStyle name="Calc Units (1)" xfId="225"/>
    <cellStyle name="Calc Units (2)" xfId="226"/>
    <cellStyle name="Calculation" xfId="227"/>
    <cellStyle name="Check Cell" xfId="228"/>
    <cellStyle name="Comma [00]" xfId="229"/>
    <cellStyle name="Comma 2" xfId="230"/>
    <cellStyle name="Comma 3" xfId="231"/>
    <cellStyle name="Currency [00]" xfId="232"/>
    <cellStyle name="Data Cell - PerformancePoint" xfId="233"/>
    <cellStyle name="Data Entry Cell - PerformancePoint" xfId="234"/>
    <cellStyle name="Date Short" xfId="235"/>
    <cellStyle name="Default" xfId="236"/>
    <cellStyle name="Dezimal [0]_PERSONAL" xfId="237"/>
    <cellStyle name="Dezimal_PERSONAL" xfId="238"/>
    <cellStyle name="Emphasis 1" xfId="239"/>
    <cellStyle name="Emphasis 1 2" xfId="240"/>
    <cellStyle name="Emphasis 1 3" xfId="241"/>
    <cellStyle name="Emphasis 1 4" xfId="242"/>
    <cellStyle name="Emphasis 1 5" xfId="243"/>
    <cellStyle name="Emphasis 1 6" xfId="244"/>
    <cellStyle name="Emphasis 2" xfId="245"/>
    <cellStyle name="Emphasis 2 2" xfId="246"/>
    <cellStyle name="Emphasis 2 3" xfId="247"/>
    <cellStyle name="Emphasis 2 4" xfId="248"/>
    <cellStyle name="Emphasis 2 5" xfId="249"/>
    <cellStyle name="Emphasis 2 6" xfId="250"/>
    <cellStyle name="Emphasis 3" xfId="251"/>
    <cellStyle name="Enter Currency (0)" xfId="252"/>
    <cellStyle name="Enter Currency (2)" xfId="253"/>
    <cellStyle name="Enter Units (0)" xfId="254"/>
    <cellStyle name="Enter Units (1)" xfId="255"/>
    <cellStyle name="Enter Units (2)" xfId="256"/>
    <cellStyle name="Euro" xfId="257"/>
    <cellStyle name="Excel Built-in Normal" xfId="258"/>
    <cellStyle name="Explanatory Text" xfId="259"/>
    <cellStyle name="Good" xfId="260"/>
    <cellStyle name="Good 2" xfId="261"/>
    <cellStyle name="Good 3" xfId="262"/>
    <cellStyle name="Good 4" xfId="263"/>
    <cellStyle name="Good_7-р_Из_Системы" xfId="264"/>
    <cellStyle name="Header1" xfId="265"/>
    <cellStyle name="Header2" xfId="266"/>
    <cellStyle name="Heading 1" xfId="267"/>
    <cellStyle name="Heading 2" xfId="268"/>
    <cellStyle name="Heading 3" xfId="269"/>
    <cellStyle name="Heading 4" xfId="270"/>
    <cellStyle name="Input" xfId="271"/>
    <cellStyle name="Link Currency (0)" xfId="272"/>
    <cellStyle name="Link Currency (2)" xfId="273"/>
    <cellStyle name="Link Units (0)" xfId="274"/>
    <cellStyle name="Link Units (1)" xfId="275"/>
    <cellStyle name="Link Units (2)" xfId="276"/>
    <cellStyle name="Linked Cell" xfId="277"/>
    <cellStyle name="Locked Cell - PerformancePoint" xfId="278"/>
    <cellStyle name="Neutral" xfId="279"/>
    <cellStyle name="Neutral 2" xfId="280"/>
    <cellStyle name="Neutral 3" xfId="281"/>
    <cellStyle name="Neutral 4" xfId="282"/>
    <cellStyle name="Neutral_7-р_Из_Системы" xfId="283"/>
    <cellStyle name="Norma11l" xfId="284"/>
    <cellStyle name="Normal" xfId="285"/>
    <cellStyle name="Normal 2" xfId="286"/>
    <cellStyle name="Normal 3" xfId="287"/>
    <cellStyle name="Normal 4" xfId="288"/>
    <cellStyle name="Normal 5" xfId="289"/>
    <cellStyle name="Normal_macro 2012 var 1" xfId="290"/>
    <cellStyle name="Note" xfId="291"/>
    <cellStyle name="Note 2" xfId="292"/>
    <cellStyle name="Note 3" xfId="293"/>
    <cellStyle name="Note 4" xfId="294"/>
    <cellStyle name="Note_7-р_Из_Системы" xfId="295"/>
    <cellStyle name="Output" xfId="296"/>
    <cellStyle name="Percent [0]" xfId="297"/>
    <cellStyle name="Percent [00]" xfId="298"/>
    <cellStyle name="Percent 2" xfId="299"/>
    <cellStyle name="Percent 3" xfId="300"/>
    <cellStyle name="PrePop Currency (0)" xfId="301"/>
    <cellStyle name="PrePop Currency (2)" xfId="302"/>
    <cellStyle name="PrePop Units (0)" xfId="303"/>
    <cellStyle name="PrePop Units (1)" xfId="304"/>
    <cellStyle name="PrePop Units (2)" xfId="305"/>
    <cellStyle name="SAPBEXaggData" xfId="306"/>
    <cellStyle name="SAPBEXaggData 2" xfId="307"/>
    <cellStyle name="SAPBEXaggData 3" xfId="308"/>
    <cellStyle name="SAPBEXaggData 4" xfId="309"/>
    <cellStyle name="SAPBEXaggData 5" xfId="310"/>
    <cellStyle name="SAPBEXaggData 6" xfId="311"/>
    <cellStyle name="SAPBEXaggDataEmph" xfId="312"/>
    <cellStyle name="SAPBEXaggDataEmph 2" xfId="313"/>
    <cellStyle name="SAPBEXaggDataEmph 3" xfId="314"/>
    <cellStyle name="SAPBEXaggDataEmph 4" xfId="315"/>
    <cellStyle name="SAPBEXaggDataEmph 5" xfId="316"/>
    <cellStyle name="SAPBEXaggDataEmph 6" xfId="317"/>
    <cellStyle name="SAPBEXaggItem" xfId="318"/>
    <cellStyle name="SAPBEXaggItem 2" xfId="319"/>
    <cellStyle name="SAPBEXaggItem 3" xfId="320"/>
    <cellStyle name="SAPBEXaggItem 4" xfId="321"/>
    <cellStyle name="SAPBEXaggItem 5" xfId="322"/>
    <cellStyle name="SAPBEXaggItem 6" xfId="323"/>
    <cellStyle name="SAPBEXaggItemX" xfId="324"/>
    <cellStyle name="SAPBEXaggItemX 2" xfId="325"/>
    <cellStyle name="SAPBEXaggItemX 3" xfId="326"/>
    <cellStyle name="SAPBEXaggItemX 4" xfId="327"/>
    <cellStyle name="SAPBEXaggItemX 5" xfId="328"/>
    <cellStyle name="SAPBEXaggItemX 6" xfId="329"/>
    <cellStyle name="SAPBEXchaText" xfId="330"/>
    <cellStyle name="SAPBEXchaText 2" xfId="331"/>
    <cellStyle name="SAPBEXchaText 3" xfId="332"/>
    <cellStyle name="SAPBEXchaText 4" xfId="333"/>
    <cellStyle name="SAPBEXchaText 5" xfId="334"/>
    <cellStyle name="SAPBEXchaText 6" xfId="335"/>
    <cellStyle name="SAPBEXchaText_Приложение_1_к_7-у-о_2009_Кв_1_ФСТ" xfId="336"/>
    <cellStyle name="SAPBEXexcBad7" xfId="337"/>
    <cellStyle name="SAPBEXexcBad7 2" xfId="338"/>
    <cellStyle name="SAPBEXexcBad7 3" xfId="339"/>
    <cellStyle name="SAPBEXexcBad7 4" xfId="340"/>
    <cellStyle name="SAPBEXexcBad7 5" xfId="341"/>
    <cellStyle name="SAPBEXexcBad7 6" xfId="342"/>
    <cellStyle name="SAPBEXexcBad8" xfId="343"/>
    <cellStyle name="SAPBEXexcBad8 2" xfId="344"/>
    <cellStyle name="SAPBEXexcBad8 3" xfId="345"/>
    <cellStyle name="SAPBEXexcBad8 4" xfId="346"/>
    <cellStyle name="SAPBEXexcBad8 5" xfId="347"/>
    <cellStyle name="SAPBEXexcBad8 6" xfId="348"/>
    <cellStyle name="SAPBEXexcBad9" xfId="349"/>
    <cellStyle name="SAPBEXexcBad9 2" xfId="350"/>
    <cellStyle name="SAPBEXexcBad9 3" xfId="351"/>
    <cellStyle name="SAPBEXexcBad9 4" xfId="352"/>
    <cellStyle name="SAPBEXexcBad9 5" xfId="353"/>
    <cellStyle name="SAPBEXexcBad9 6" xfId="354"/>
    <cellStyle name="SAPBEXexcCritical4" xfId="355"/>
    <cellStyle name="SAPBEXexcCritical4 2" xfId="356"/>
    <cellStyle name="SAPBEXexcCritical4 3" xfId="357"/>
    <cellStyle name="SAPBEXexcCritical4 4" xfId="358"/>
    <cellStyle name="SAPBEXexcCritical4 5" xfId="359"/>
    <cellStyle name="SAPBEXexcCritical4 6" xfId="360"/>
    <cellStyle name="SAPBEXexcCritical5" xfId="361"/>
    <cellStyle name="SAPBEXexcCritical5 2" xfId="362"/>
    <cellStyle name="SAPBEXexcCritical5 3" xfId="363"/>
    <cellStyle name="SAPBEXexcCritical5 4" xfId="364"/>
    <cellStyle name="SAPBEXexcCritical5 5" xfId="365"/>
    <cellStyle name="SAPBEXexcCritical5 6" xfId="366"/>
    <cellStyle name="SAPBEXexcCritical6" xfId="367"/>
    <cellStyle name="SAPBEXexcCritical6 2" xfId="368"/>
    <cellStyle name="SAPBEXexcCritical6 3" xfId="369"/>
    <cellStyle name="SAPBEXexcCritical6 4" xfId="370"/>
    <cellStyle name="SAPBEXexcCritical6 5" xfId="371"/>
    <cellStyle name="SAPBEXexcCritical6 6" xfId="372"/>
    <cellStyle name="SAPBEXexcGood1" xfId="373"/>
    <cellStyle name="SAPBEXexcGood1 2" xfId="374"/>
    <cellStyle name="SAPBEXexcGood1 3" xfId="375"/>
    <cellStyle name="SAPBEXexcGood1 4" xfId="376"/>
    <cellStyle name="SAPBEXexcGood1 5" xfId="377"/>
    <cellStyle name="SAPBEXexcGood1 6" xfId="378"/>
    <cellStyle name="SAPBEXexcGood2" xfId="379"/>
    <cellStyle name="SAPBEXexcGood2 2" xfId="380"/>
    <cellStyle name="SAPBEXexcGood2 3" xfId="381"/>
    <cellStyle name="SAPBEXexcGood2 4" xfId="382"/>
    <cellStyle name="SAPBEXexcGood2 5" xfId="383"/>
    <cellStyle name="SAPBEXexcGood2 6" xfId="384"/>
    <cellStyle name="SAPBEXexcGood3" xfId="385"/>
    <cellStyle name="SAPBEXexcGood3 2" xfId="386"/>
    <cellStyle name="SAPBEXexcGood3 3" xfId="387"/>
    <cellStyle name="SAPBEXexcGood3 4" xfId="388"/>
    <cellStyle name="SAPBEXexcGood3 5" xfId="389"/>
    <cellStyle name="SAPBEXexcGood3 6" xfId="390"/>
    <cellStyle name="SAPBEXfilterDrill" xfId="391"/>
    <cellStyle name="SAPBEXfilterDrill 2" xfId="392"/>
    <cellStyle name="SAPBEXfilterDrill 3" xfId="393"/>
    <cellStyle name="SAPBEXfilterDrill 4" xfId="394"/>
    <cellStyle name="SAPBEXfilterDrill 5" xfId="395"/>
    <cellStyle name="SAPBEXfilterDrill 6" xfId="396"/>
    <cellStyle name="SAPBEXfilterItem" xfId="397"/>
    <cellStyle name="SAPBEXfilterItem 2" xfId="398"/>
    <cellStyle name="SAPBEXfilterItem 3" xfId="399"/>
    <cellStyle name="SAPBEXfilterItem 4" xfId="400"/>
    <cellStyle name="SAPBEXfilterItem 5" xfId="401"/>
    <cellStyle name="SAPBEXfilterItem 6" xfId="402"/>
    <cellStyle name="SAPBEXfilterText" xfId="403"/>
    <cellStyle name="SAPBEXfilterText 2" xfId="404"/>
    <cellStyle name="SAPBEXfilterText 3" xfId="405"/>
    <cellStyle name="SAPBEXfilterText 4" xfId="406"/>
    <cellStyle name="SAPBEXfilterText 5" xfId="407"/>
    <cellStyle name="SAPBEXfilterText 6" xfId="408"/>
    <cellStyle name="SAPBEXformats" xfId="409"/>
    <cellStyle name="SAPBEXformats 2" xfId="410"/>
    <cellStyle name="SAPBEXformats 3" xfId="411"/>
    <cellStyle name="SAPBEXformats 4" xfId="412"/>
    <cellStyle name="SAPBEXformats 5" xfId="413"/>
    <cellStyle name="SAPBEXformats 6" xfId="414"/>
    <cellStyle name="SAPBEXheaderItem" xfId="415"/>
    <cellStyle name="SAPBEXheaderItem 2" xfId="416"/>
    <cellStyle name="SAPBEXheaderItem 3" xfId="417"/>
    <cellStyle name="SAPBEXheaderItem 4" xfId="418"/>
    <cellStyle name="SAPBEXheaderItem 5" xfId="419"/>
    <cellStyle name="SAPBEXheaderItem 6" xfId="420"/>
    <cellStyle name="SAPBEXheaderText" xfId="421"/>
    <cellStyle name="SAPBEXheaderText 2" xfId="422"/>
    <cellStyle name="SAPBEXheaderText 3" xfId="423"/>
    <cellStyle name="SAPBEXheaderText 4" xfId="424"/>
    <cellStyle name="SAPBEXheaderText 5" xfId="425"/>
    <cellStyle name="SAPBEXheaderText 6" xfId="426"/>
    <cellStyle name="SAPBEXHLevel0" xfId="427"/>
    <cellStyle name="SAPBEXHLevel0 2" xfId="428"/>
    <cellStyle name="SAPBEXHLevel0 3" xfId="429"/>
    <cellStyle name="SAPBEXHLevel0 4" xfId="430"/>
    <cellStyle name="SAPBEXHLevel0 5" xfId="431"/>
    <cellStyle name="SAPBEXHLevel0 6" xfId="432"/>
    <cellStyle name="SAPBEXHLevel0 7" xfId="433"/>
    <cellStyle name="SAPBEXHLevel0_7y-отчетная_РЖД_2009_04" xfId="434"/>
    <cellStyle name="SAPBEXHLevel0X" xfId="435"/>
    <cellStyle name="SAPBEXHLevel0X 2" xfId="436"/>
    <cellStyle name="SAPBEXHLevel0X 3" xfId="437"/>
    <cellStyle name="SAPBEXHLevel0X 4" xfId="438"/>
    <cellStyle name="SAPBEXHLevel0X 5" xfId="439"/>
    <cellStyle name="SAPBEXHLevel0X 6" xfId="440"/>
    <cellStyle name="SAPBEXHLevel0X 7" xfId="441"/>
    <cellStyle name="SAPBEXHLevel0X 8" xfId="442"/>
    <cellStyle name="SAPBEXHLevel0X 9" xfId="443"/>
    <cellStyle name="SAPBEXHLevel0X_7-р_Из_Системы" xfId="444"/>
    <cellStyle name="SAPBEXHLevel1" xfId="445"/>
    <cellStyle name="SAPBEXHLevel1 2" xfId="446"/>
    <cellStyle name="SAPBEXHLevel1 3" xfId="447"/>
    <cellStyle name="SAPBEXHLevel1 4" xfId="448"/>
    <cellStyle name="SAPBEXHLevel1 5" xfId="449"/>
    <cellStyle name="SAPBEXHLevel1 6" xfId="450"/>
    <cellStyle name="SAPBEXHLevel1 7" xfId="451"/>
    <cellStyle name="SAPBEXHLevel1_7y-отчетная_РЖД_2009_04" xfId="452"/>
    <cellStyle name="SAPBEXHLevel1X" xfId="453"/>
    <cellStyle name="SAPBEXHLevel1X 2" xfId="454"/>
    <cellStyle name="SAPBEXHLevel1X 3" xfId="455"/>
    <cellStyle name="SAPBEXHLevel1X 4" xfId="456"/>
    <cellStyle name="SAPBEXHLevel1X 5" xfId="457"/>
    <cellStyle name="SAPBEXHLevel1X 6" xfId="458"/>
    <cellStyle name="SAPBEXHLevel1X 7" xfId="459"/>
    <cellStyle name="SAPBEXHLevel1X 8" xfId="460"/>
    <cellStyle name="SAPBEXHLevel1X 9" xfId="461"/>
    <cellStyle name="SAPBEXHLevel1X_7-р_Из_Системы" xfId="462"/>
    <cellStyle name="SAPBEXHLevel2" xfId="463"/>
    <cellStyle name="SAPBEXHLevel2 2" xfId="464"/>
    <cellStyle name="SAPBEXHLevel2 3" xfId="465"/>
    <cellStyle name="SAPBEXHLevel2 4" xfId="466"/>
    <cellStyle name="SAPBEXHLevel2 5" xfId="467"/>
    <cellStyle name="SAPBEXHLevel2 6" xfId="468"/>
    <cellStyle name="SAPBEXHLevel2_Приложение_1_к_7-у-о_2009_Кв_1_ФСТ" xfId="469"/>
    <cellStyle name="SAPBEXHLevel2X" xfId="470"/>
    <cellStyle name="SAPBEXHLevel2X 2" xfId="471"/>
    <cellStyle name="SAPBEXHLevel2X 3" xfId="472"/>
    <cellStyle name="SAPBEXHLevel2X 4" xfId="473"/>
    <cellStyle name="SAPBEXHLevel2X 5" xfId="474"/>
    <cellStyle name="SAPBEXHLevel2X 6" xfId="475"/>
    <cellStyle name="SAPBEXHLevel2X 7" xfId="476"/>
    <cellStyle name="SAPBEXHLevel2X 8" xfId="477"/>
    <cellStyle name="SAPBEXHLevel2X 9" xfId="478"/>
    <cellStyle name="SAPBEXHLevel2X_7-р_Из_Системы" xfId="479"/>
    <cellStyle name="SAPBEXHLevel3" xfId="480"/>
    <cellStyle name="SAPBEXHLevel3 2" xfId="481"/>
    <cellStyle name="SAPBEXHLevel3 3" xfId="482"/>
    <cellStyle name="SAPBEXHLevel3 4" xfId="483"/>
    <cellStyle name="SAPBEXHLevel3 5" xfId="484"/>
    <cellStyle name="SAPBEXHLevel3 6" xfId="485"/>
    <cellStyle name="SAPBEXHLevel3_Приложение_1_к_7-у-о_2009_Кв_1_ФСТ" xfId="486"/>
    <cellStyle name="SAPBEXHLevel3X" xfId="487"/>
    <cellStyle name="SAPBEXHLevel3X 2" xfId="488"/>
    <cellStyle name="SAPBEXHLevel3X 3" xfId="489"/>
    <cellStyle name="SAPBEXHLevel3X 4" xfId="490"/>
    <cellStyle name="SAPBEXHLevel3X 5" xfId="491"/>
    <cellStyle name="SAPBEXHLevel3X 6" xfId="492"/>
    <cellStyle name="SAPBEXHLevel3X 7" xfId="493"/>
    <cellStyle name="SAPBEXHLevel3X 8" xfId="494"/>
    <cellStyle name="SAPBEXHLevel3X 9" xfId="495"/>
    <cellStyle name="SAPBEXHLevel3X_7-р_Из_Системы" xfId="496"/>
    <cellStyle name="SAPBEXinputData" xfId="497"/>
    <cellStyle name="SAPBEXinputData 10" xfId="498"/>
    <cellStyle name="SAPBEXinputData 2" xfId="499"/>
    <cellStyle name="SAPBEXinputData 3" xfId="500"/>
    <cellStyle name="SAPBEXinputData 4" xfId="501"/>
    <cellStyle name="SAPBEXinputData 5" xfId="502"/>
    <cellStyle name="SAPBEXinputData 6" xfId="503"/>
    <cellStyle name="SAPBEXinputData 7" xfId="504"/>
    <cellStyle name="SAPBEXinputData 8" xfId="505"/>
    <cellStyle name="SAPBEXinputData 9" xfId="506"/>
    <cellStyle name="SAPBEXinputData_7-р_Из_Системы" xfId="507"/>
    <cellStyle name="SAPBEXItemHeader" xfId="508"/>
    <cellStyle name="SAPBEXresData" xfId="509"/>
    <cellStyle name="SAPBEXresData 2" xfId="510"/>
    <cellStyle name="SAPBEXresData 3" xfId="511"/>
    <cellStyle name="SAPBEXresData 4" xfId="512"/>
    <cellStyle name="SAPBEXresData 5" xfId="513"/>
    <cellStyle name="SAPBEXresData 6" xfId="514"/>
    <cellStyle name="SAPBEXresDataEmph" xfId="515"/>
    <cellStyle name="SAPBEXresDataEmph 2" xfId="516"/>
    <cellStyle name="SAPBEXresDataEmph 2 2" xfId="517"/>
    <cellStyle name="SAPBEXresDataEmph 3" xfId="518"/>
    <cellStyle name="SAPBEXresDataEmph 3 2" xfId="519"/>
    <cellStyle name="SAPBEXresDataEmph 4" xfId="520"/>
    <cellStyle name="SAPBEXresDataEmph 4 2" xfId="521"/>
    <cellStyle name="SAPBEXresDataEmph 5" xfId="522"/>
    <cellStyle name="SAPBEXresDataEmph 5 2" xfId="523"/>
    <cellStyle name="SAPBEXresDataEmph 6" xfId="524"/>
    <cellStyle name="SAPBEXresDataEmph 6 2" xfId="525"/>
    <cellStyle name="SAPBEXresItem" xfId="526"/>
    <cellStyle name="SAPBEXresItem 2" xfId="527"/>
    <cellStyle name="SAPBEXresItem 3" xfId="528"/>
    <cellStyle name="SAPBEXresItem 4" xfId="529"/>
    <cellStyle name="SAPBEXresItem 5" xfId="530"/>
    <cellStyle name="SAPBEXresItem 6" xfId="531"/>
    <cellStyle name="SAPBEXresItemX" xfId="532"/>
    <cellStyle name="SAPBEXresItemX 2" xfId="533"/>
    <cellStyle name="SAPBEXresItemX 3" xfId="534"/>
    <cellStyle name="SAPBEXresItemX 4" xfId="535"/>
    <cellStyle name="SAPBEXresItemX 5" xfId="536"/>
    <cellStyle name="SAPBEXresItemX 6" xfId="537"/>
    <cellStyle name="SAPBEXstdData" xfId="538"/>
    <cellStyle name="SAPBEXstdData 2" xfId="539"/>
    <cellStyle name="SAPBEXstdData 3" xfId="540"/>
    <cellStyle name="SAPBEXstdData 4" xfId="541"/>
    <cellStyle name="SAPBEXstdData 5" xfId="542"/>
    <cellStyle name="SAPBEXstdData 6" xfId="543"/>
    <cellStyle name="SAPBEXstdData_Приложение_1_к_7-у-о_2009_Кв_1_ФСТ" xfId="544"/>
    <cellStyle name="SAPBEXstdDataEmph" xfId="545"/>
    <cellStyle name="SAPBEXstdDataEmph 2" xfId="546"/>
    <cellStyle name="SAPBEXstdDataEmph 3" xfId="547"/>
    <cellStyle name="SAPBEXstdDataEmph 4" xfId="548"/>
    <cellStyle name="SAPBEXstdDataEmph 5" xfId="549"/>
    <cellStyle name="SAPBEXstdDataEmph 6" xfId="550"/>
    <cellStyle name="SAPBEXstdItem" xfId="551"/>
    <cellStyle name="SAPBEXstdItem 2" xfId="552"/>
    <cellStyle name="SAPBEXstdItem 3" xfId="553"/>
    <cellStyle name="SAPBEXstdItem 4" xfId="554"/>
    <cellStyle name="SAPBEXstdItem 5" xfId="555"/>
    <cellStyle name="SAPBEXstdItem 6" xfId="556"/>
    <cellStyle name="SAPBEXstdItem 7" xfId="557"/>
    <cellStyle name="SAPBEXstdItem_7-р" xfId="558"/>
    <cellStyle name="SAPBEXstdItemX" xfId="559"/>
    <cellStyle name="SAPBEXstdItemX 2" xfId="560"/>
    <cellStyle name="SAPBEXstdItemX 3" xfId="561"/>
    <cellStyle name="SAPBEXstdItemX 4" xfId="562"/>
    <cellStyle name="SAPBEXstdItemX 5" xfId="563"/>
    <cellStyle name="SAPBEXstdItemX 6" xfId="564"/>
    <cellStyle name="SAPBEXtitle" xfId="565"/>
    <cellStyle name="SAPBEXtitle 2" xfId="566"/>
    <cellStyle name="SAPBEXtitle 3" xfId="567"/>
    <cellStyle name="SAPBEXtitle 4" xfId="568"/>
    <cellStyle name="SAPBEXtitle 5" xfId="569"/>
    <cellStyle name="SAPBEXtitle 6" xfId="570"/>
    <cellStyle name="SAPBEXunassignedItem" xfId="571"/>
    <cellStyle name="SAPBEXunassignedItem 2" xfId="572"/>
    <cellStyle name="SAPBEXundefined" xfId="573"/>
    <cellStyle name="SAPBEXundefined 2" xfId="574"/>
    <cellStyle name="SAPBEXundefined 3" xfId="575"/>
    <cellStyle name="SAPBEXundefined 4" xfId="576"/>
    <cellStyle name="SAPBEXundefined 5" xfId="577"/>
    <cellStyle name="SAPBEXundefined 6" xfId="578"/>
    <cellStyle name="Sheet Title" xfId="579"/>
    <cellStyle name="styleColumnTitles" xfId="580"/>
    <cellStyle name="styleDateRange" xfId="581"/>
    <cellStyle name="styleHidden" xfId="582"/>
    <cellStyle name="styleNormal" xfId="583"/>
    <cellStyle name="styleSeriesAttributes" xfId="584"/>
    <cellStyle name="styleSeriesData" xfId="585"/>
    <cellStyle name="styleSeriesDataForecast" xfId="586"/>
    <cellStyle name="styleSeriesDataForecastNA" xfId="587"/>
    <cellStyle name="styleSeriesDataNA" xfId="588"/>
    <cellStyle name="Text Indent A" xfId="589"/>
    <cellStyle name="Text Indent B" xfId="590"/>
    <cellStyle name="Text Indent C" xfId="591"/>
    <cellStyle name="Times New Roman0181000015536870911" xfId="592"/>
    <cellStyle name="Title" xfId="593"/>
    <cellStyle name="Total" xfId="594"/>
    <cellStyle name="Warning Text" xfId="595"/>
    <cellStyle name="Акцент1 2" xfId="596"/>
    <cellStyle name="Акцент2 2" xfId="597"/>
    <cellStyle name="Акцент3 2" xfId="598"/>
    <cellStyle name="Акцент4 2" xfId="599"/>
    <cellStyle name="Акцент5 2" xfId="600"/>
    <cellStyle name="Акцент6 2" xfId="601"/>
    <cellStyle name="Ввод  2" xfId="602"/>
    <cellStyle name="Вывод 2" xfId="603"/>
    <cellStyle name="Вычисление 2" xfId="604"/>
    <cellStyle name="Гиперссылка 2" xfId="605"/>
    <cellStyle name="Гиперссылка 3" xfId="606"/>
    <cellStyle name="Гиперссылка 4" xfId="607"/>
    <cellStyle name="Денежный 2" xfId="608"/>
    <cellStyle name="Итог 2" xfId="609"/>
    <cellStyle name="Контрольная ячейка 2" xfId="610"/>
    <cellStyle name="Нейтральный 2" xfId="611"/>
    <cellStyle name="Обычный" xfId="0" builtinId="0"/>
    <cellStyle name="Обычный 10" xfId="612"/>
    <cellStyle name="Обычный 11" xfId="613"/>
    <cellStyle name="Обычный 12" xfId="614"/>
    <cellStyle name="Обычный 12 2" xfId="615"/>
    <cellStyle name="Обычный 12_Т-НахВТО-газ-28.09.12" xfId="616"/>
    <cellStyle name="Обычный 13" xfId="617"/>
    <cellStyle name="Обычный 14" xfId="618"/>
    <cellStyle name="Обычный 15" xfId="619"/>
    <cellStyle name="Обычный 16" xfId="620"/>
    <cellStyle name="Обычный 16 2" xfId="621"/>
    <cellStyle name="Обычный 17" xfId="622"/>
    <cellStyle name="Обычный 18" xfId="623"/>
    <cellStyle name="Обычный 18 2" xfId="624"/>
    <cellStyle name="Обычный 19" xfId="625"/>
    <cellStyle name="Обычный 2" xfId="626"/>
    <cellStyle name="Обычный 2 10" xfId="627"/>
    <cellStyle name="Обычный 2 10 2" xfId="628"/>
    <cellStyle name="Обычный 2 11" xfId="629"/>
    <cellStyle name="Обычный 2 11 2" xfId="630"/>
    <cellStyle name="Обычный 2 11_Книга1" xfId="631"/>
    <cellStyle name="Обычный 2 12" xfId="632"/>
    <cellStyle name="Обычный 2 12 2" xfId="633"/>
    <cellStyle name="Обычный 2 12_Книга1" xfId="634"/>
    <cellStyle name="Обычный 2 13" xfId="635"/>
    <cellStyle name="Обычный 2 14" xfId="636"/>
    <cellStyle name="Обычный 2 2" xfId="637"/>
    <cellStyle name="Обычный 2 2 2" xfId="638"/>
    <cellStyle name="Обычный 2 2 2 2" xfId="639"/>
    <cellStyle name="Обычный 2 2 2 2 2" xfId="640"/>
    <cellStyle name="Обычный 2 2 2 2 2 2" xfId="641"/>
    <cellStyle name="Обычный 2 2 2 2 2 2 2" xfId="642"/>
    <cellStyle name="Обычный 2 2 3" xfId="643"/>
    <cellStyle name="Обычный 2 3" xfId="644"/>
    <cellStyle name="Обычный 2 4" xfId="645"/>
    <cellStyle name="Обычный 2 4 2" xfId="646"/>
    <cellStyle name="Обычный 2 5" xfId="647"/>
    <cellStyle name="Обычный 2 6" xfId="648"/>
    <cellStyle name="Обычный 2 7" xfId="649"/>
    <cellStyle name="Обычный 2 8" xfId="650"/>
    <cellStyle name="Обычный 2 9" xfId="651"/>
    <cellStyle name="Обычный 2_Новые Рекоменд.среднесут. нормы питания в дошкольных организациях" xfId="652"/>
    <cellStyle name="Обычный 20" xfId="653"/>
    <cellStyle name="Обычный 21" xfId="654"/>
    <cellStyle name="Обычный 22" xfId="655"/>
    <cellStyle name="Обычный 23" xfId="656"/>
    <cellStyle name="Обычный 24" xfId="657"/>
    <cellStyle name="Обычный 25" xfId="658"/>
    <cellStyle name="Обычный 26" xfId="659"/>
    <cellStyle name="Обычный 27" xfId="660"/>
    <cellStyle name="Обычный 28" xfId="661"/>
    <cellStyle name="Обычный 29" xfId="662"/>
    <cellStyle name="Обычный 3" xfId="663"/>
    <cellStyle name="Обычный 3 2" xfId="664"/>
    <cellStyle name="Обычный 3 3" xfId="665"/>
    <cellStyle name="Обычный 3 4" xfId="666"/>
    <cellStyle name="Обычный 3 5" xfId="667"/>
    <cellStyle name="Обычный 3_RZD_2009-2030_macromodel_090518" xfId="668"/>
    <cellStyle name="Обычный 30" xfId="669"/>
    <cellStyle name="Обычный 31" xfId="670"/>
    <cellStyle name="Обычный 32" xfId="671"/>
    <cellStyle name="Обычный 33" xfId="672"/>
    <cellStyle name="Обычный 34" xfId="673"/>
    <cellStyle name="Обычный 34 2" xfId="674"/>
    <cellStyle name="Обычный 34 2 2" xfId="675"/>
    <cellStyle name="Обычный 34 3" xfId="676"/>
    <cellStyle name="Обычный 35" xfId="677"/>
    <cellStyle name="Обычный 36" xfId="678"/>
    <cellStyle name="Обычный 37" xfId="679"/>
    <cellStyle name="Обычный 38" xfId="680"/>
    <cellStyle name="Обычный 39" xfId="681"/>
    <cellStyle name="Обычный 4" xfId="682"/>
    <cellStyle name="Обычный 4 2" xfId="683"/>
    <cellStyle name="Обычный 4 2 2" xfId="684"/>
    <cellStyle name="Обычный 4 2_Книга1" xfId="685"/>
    <cellStyle name="Обычный 4 3 2 2 2" xfId="686"/>
    <cellStyle name="Обычный 4_ЦФ запрос2008-2009" xfId="687"/>
    <cellStyle name="Обычный 40" xfId="688"/>
    <cellStyle name="Обычный 41" xfId="689"/>
    <cellStyle name="Обычный 42" xfId="690"/>
    <cellStyle name="Обычный 43" xfId="691"/>
    <cellStyle name="Обычный 44" xfId="692"/>
    <cellStyle name="Обычный 45" xfId="693"/>
    <cellStyle name="Обычный 46" xfId="694"/>
    <cellStyle name="Обычный 47" xfId="695"/>
    <cellStyle name="Обычный 48" xfId="696"/>
    <cellStyle name="Обычный 49" xfId="697"/>
    <cellStyle name="Обычный 5" xfId="698"/>
    <cellStyle name="Обычный 50" xfId="699"/>
    <cellStyle name="Обычный 51" xfId="700"/>
    <cellStyle name="Обычный 52" xfId="701"/>
    <cellStyle name="Обычный 53" xfId="702"/>
    <cellStyle name="Обычный 54" xfId="703"/>
    <cellStyle name="Обычный 54 2" xfId="704"/>
    <cellStyle name="Обычный 55" xfId="705"/>
    <cellStyle name="Обычный 56" xfId="706"/>
    <cellStyle name="Обычный 57" xfId="707"/>
    <cellStyle name="Обычный 58" xfId="708"/>
    <cellStyle name="Обычный 59" xfId="709"/>
    <cellStyle name="Обычный 6" xfId="710"/>
    <cellStyle name="Обычный 6 2" xfId="711"/>
    <cellStyle name="Обычный 60" xfId="712"/>
    <cellStyle name="Обычный 61" xfId="713"/>
    <cellStyle name="Обычный 62" xfId="714"/>
    <cellStyle name="Обычный 63" xfId="715"/>
    <cellStyle name="Обычный 64" xfId="716"/>
    <cellStyle name="Обычный 65" xfId="717"/>
    <cellStyle name="Обычный 66" xfId="718"/>
    <cellStyle name="Обычный 67" xfId="719"/>
    <cellStyle name="Обычный 68" xfId="720"/>
    <cellStyle name="Обычный 69" xfId="721"/>
    <cellStyle name="Обычный 7" xfId="722"/>
    <cellStyle name="Обычный 8" xfId="723"/>
    <cellStyle name="Обычный 8 2" xfId="724"/>
    <cellStyle name="Обычный 9" xfId="725"/>
    <cellStyle name="Обычный 9 2" xfId="726"/>
    <cellStyle name="Обычный 97" xfId="727"/>
    <cellStyle name="Плохой 2" xfId="728"/>
    <cellStyle name="Пояснение 2" xfId="729"/>
    <cellStyle name="Примечание 2" xfId="730"/>
    <cellStyle name="Процентный 10" xfId="731"/>
    <cellStyle name="Процентный 11" xfId="732"/>
    <cellStyle name="Процентный 12" xfId="733"/>
    <cellStyle name="Процентный 13" xfId="734"/>
    <cellStyle name="Процентный 14" xfId="735"/>
    <cellStyle name="Процентный 15" xfId="736"/>
    <cellStyle name="Процентный 16" xfId="737"/>
    <cellStyle name="Процентный 16 2" xfId="738"/>
    <cellStyle name="Процентный 16 2 2" xfId="739"/>
    <cellStyle name="Процентный 16 3" xfId="740"/>
    <cellStyle name="Процентный 17" xfId="741"/>
    <cellStyle name="Процентный 18" xfId="742"/>
    <cellStyle name="Процентный 2" xfId="743"/>
    <cellStyle name="Процентный 2 2" xfId="744"/>
    <cellStyle name="Процентный 2 2 2" xfId="745"/>
    <cellStyle name="Процентный 2 2 3" xfId="746"/>
    <cellStyle name="Процентный 3" xfId="747"/>
    <cellStyle name="Процентный 4" xfId="748"/>
    <cellStyle name="Процентный 5" xfId="749"/>
    <cellStyle name="Процентный 6" xfId="750"/>
    <cellStyle name="Процентный 7" xfId="751"/>
    <cellStyle name="Процентный 8" xfId="752"/>
    <cellStyle name="Процентный 9" xfId="753"/>
    <cellStyle name="Сверхулин" xfId="754"/>
    <cellStyle name="Связанная ячейка 2" xfId="755"/>
    <cellStyle name="Стиль 1" xfId="756"/>
    <cellStyle name="Стиль 1 2" xfId="757"/>
    <cellStyle name="Стиль 1 3" xfId="758"/>
    <cellStyle name="Стиль 1 4" xfId="759"/>
    <cellStyle name="Стиль 1 5" xfId="760"/>
    <cellStyle name="Стиль 1 6" xfId="761"/>
    <cellStyle name="Стиль 1 7" xfId="762"/>
    <cellStyle name="Стиль 1_Книга2" xfId="763"/>
    <cellStyle name="Стиль 2" xfId="764"/>
    <cellStyle name="Стиль 3" xfId="765"/>
    <cellStyle name="Стиль 4" xfId="766"/>
    <cellStyle name="ТаблицаТекст" xfId="767"/>
    <cellStyle name="Текст предупреждения 2" xfId="768"/>
    <cellStyle name="Тысячи [0]_Chart1 (Sales &amp; Costs)" xfId="769"/>
    <cellStyle name="Тысячи_Chart1 (Sales &amp; Costs)" xfId="770"/>
    <cellStyle name="Финансовый" xfId="771" builtinId="3"/>
    <cellStyle name="Финансовый [0] 2" xfId="772"/>
    <cellStyle name="Финансовый [0] 3" xfId="773"/>
    <cellStyle name="Финансовый 10" xfId="774"/>
    <cellStyle name="Финансовый 11" xfId="775"/>
    <cellStyle name="Финансовый 12" xfId="776"/>
    <cellStyle name="Финансовый 13" xfId="777"/>
    <cellStyle name="Финансовый 14" xfId="778"/>
    <cellStyle name="Финансовый 15" xfId="779"/>
    <cellStyle name="Финансовый 16" xfId="780"/>
    <cellStyle name="Финансовый 17" xfId="781"/>
    <cellStyle name="Финансовый 18" xfId="782"/>
    <cellStyle name="Финансовый 19" xfId="783"/>
    <cellStyle name="Финансовый 19 2" xfId="784"/>
    <cellStyle name="Финансовый 19 3" xfId="785"/>
    <cellStyle name="Финансовый 2" xfId="786"/>
    <cellStyle name="Финансовый 2 10" xfId="787"/>
    <cellStyle name="Финансовый 2 2" xfId="788"/>
    <cellStyle name="Финансовый 2 2 2" xfId="789"/>
    <cellStyle name="Финансовый 2 2 2 2" xfId="790"/>
    <cellStyle name="Финансовый 2 2 3" xfId="791"/>
    <cellStyle name="Финансовый 2 2 3 2" xfId="792"/>
    <cellStyle name="Финансовый 2 2 3 3" xfId="793"/>
    <cellStyle name="Финансовый 2 2 3 4" xfId="794"/>
    <cellStyle name="Финансовый 2 2 4" xfId="795"/>
    <cellStyle name="Финансовый 2 2 4 2" xfId="796"/>
    <cellStyle name="Финансовый 2 2 4 3" xfId="797"/>
    <cellStyle name="Финансовый 2 2 4 4" xfId="798"/>
    <cellStyle name="Финансовый 2 3" xfId="799"/>
    <cellStyle name="Финансовый 2 3 2" xfId="800"/>
    <cellStyle name="Финансовый 2 3 2 2" xfId="801"/>
    <cellStyle name="Финансовый 2 3 2 3" xfId="802"/>
    <cellStyle name="Финансовый 2 3 2 4" xfId="803"/>
    <cellStyle name="Финансовый 2 4" xfId="804"/>
    <cellStyle name="Финансовый 2 5" xfId="805"/>
    <cellStyle name="Финансовый 2 6" xfId="806"/>
    <cellStyle name="Финансовый 2 7" xfId="807"/>
    <cellStyle name="Финансовый 2 8" xfId="808"/>
    <cellStyle name="Финансовый 2 9" xfId="809"/>
    <cellStyle name="Финансовый 20" xfId="810"/>
    <cellStyle name="Финансовый 21" xfId="811"/>
    <cellStyle name="Финансовый 22" xfId="812"/>
    <cellStyle name="Финансовый 23" xfId="813"/>
    <cellStyle name="Финансовый 24" xfId="814"/>
    <cellStyle name="Финансовый 25" xfId="815"/>
    <cellStyle name="Финансовый 26" xfId="816"/>
    <cellStyle name="Финансовый 27" xfId="817"/>
    <cellStyle name="Финансовый 28" xfId="818"/>
    <cellStyle name="Финансовый 29" xfId="819"/>
    <cellStyle name="Финансовый 3" xfId="820"/>
    <cellStyle name="Финансовый 3 2" xfId="821"/>
    <cellStyle name="Финансовый 30" xfId="822"/>
    <cellStyle name="Финансовый 31" xfId="823"/>
    <cellStyle name="Финансовый 4" xfId="824"/>
    <cellStyle name="Финансовый 4 2" xfId="825"/>
    <cellStyle name="Финансовый 5" xfId="826"/>
    <cellStyle name="Финансовый 6" xfId="827"/>
    <cellStyle name="Финансовый 7" xfId="828"/>
    <cellStyle name="Финансовый 8" xfId="829"/>
    <cellStyle name="Финансовый 9" xfId="830"/>
    <cellStyle name="Хороший 2" xfId="831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tion11\&#1050;&#1086;&#1085;&#1090;&#1088;&#1086;&#1083;&#1100;&#1085;&#1086;%20-%20&#1089;&#1095;&#1077;&#1090;&#1085;&#1072;&#1103;%20&#1087;&#1072;&#1083;&#1072;&#1090;&#1072;%20&#1056;&#1086;&#1089;&#1090;&#1086;&#1074;&#1089;&#1082;&#1086;&#1081;%20&#1086;&#1073;&#1083;&#1072;&#1089;&#1090;&#1080;\&#1052;&#1086;&#1080;%20&#1076;&#1086;&#1082;&#1091;&#1084;&#1077;&#1085;&#1090;&#1099;\&#1052;&#1054;&#1041;\06-03-06\Var2.7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57;&#1055;/&#1052;&#1086;&#1080;%20&#1076;&#1086;&#1082;&#1091;&#1084;&#1077;&#1085;&#1090;&#1099;/&#1052;&#1054;&#1041;/06-03-06/Var2.7%20(version%20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57;&#1055;/Documents%20and%20Settings/Admin/&#1052;&#1086;&#1080;%20&#1076;&#1086;&#1082;&#1091;&#1084;&#1077;&#1085;&#1090;&#1099;/Downloads/&#1059;&#1090;&#1086;&#1095;&#1085;&#1077;&#1085;&#1085;&#1099;&#1077;%20&#1087;&#1072;&#1089;&#1087;&#1086;&#1088;&#1090;&#1072;/&#1060;&#1086;&#1088;&#1084;&#1072;%20&#1041;&#1077;&#1083;&#1086;&#1082;&#1072;&#1083;&#1080;&#1090;&#1074;&#1080;&#1085;&#1089;&#1082;&#1080;&#1081;%20&#1088;&#1072;&#1081;&#1086;&#1085;%2006.05.202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57;&#1055;/Documents%20and%20Settings/Admin/&#1052;&#1086;&#1080;%20&#1076;&#1086;&#1082;&#1091;&#1084;&#1077;&#1085;&#1090;&#1099;/Downloads/&#1048;&#1085;&#1092;%20&#1088;&#1072;&#1081;&#1086;&#1085;&#1086;&#1074;/&#1056;&#1077;&#1077;&#1089;&#1090;&#1088;%20&#1054;&#1082;&#1090;&#1103;&#1073;&#1088;&#1100;&#1089;&#1082;&#1080;&#1081;%20&#1088;&#1072;&#1081;&#1086;&#1085;%2020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/>
      <sheetData sheetId="25"/>
      <sheetData sheetId="26"/>
      <sheetData sheetId="27"/>
      <sheetData sheetId="28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кросы"/>
      <sheetName val="СВОДНАЯ"/>
      <sheetName val="Ошибки"/>
      <sheetName val="Ошибки подгрузки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создание</v>
          </cell>
          <cell r="B2" t="str">
            <v>образование</v>
          </cell>
        </row>
        <row r="3">
          <cell r="A3" t="str">
            <v>расширение</v>
          </cell>
          <cell r="B3" t="str">
            <v>здравоохранение</v>
          </cell>
        </row>
        <row r="4">
          <cell r="A4" t="str">
            <v>строительство</v>
          </cell>
          <cell r="B4" t="str">
            <v>культура</v>
          </cell>
        </row>
        <row r="5">
          <cell r="A5" t="str">
            <v>реконструкция</v>
          </cell>
          <cell r="B5" t="str">
            <v>физкультура и спорт</v>
          </cell>
        </row>
        <row r="6">
          <cell r="A6" t="str">
            <v>капремонт</v>
          </cell>
          <cell r="B6" t="str">
            <v>соц.политика</v>
          </cell>
        </row>
        <row r="7">
          <cell r="A7" t="str">
            <v>приобретение</v>
          </cell>
          <cell r="B7" t="str">
            <v>коммунальная инфраструктура</v>
          </cell>
        </row>
        <row r="8">
          <cell r="A8" t="str">
            <v>установка</v>
          </cell>
          <cell r="B8" t="str">
            <v>транспортная инфраструктура</v>
          </cell>
        </row>
        <row r="9">
          <cell r="B9" t="str">
            <v>производство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кросы"/>
      <sheetName val="СВОДНАЯ"/>
      <sheetName val="Ошибки"/>
      <sheetName val="Ошибки подгрузки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>
            <v>2020</v>
          </cell>
        </row>
        <row r="3">
          <cell r="C3">
            <v>2021</v>
          </cell>
        </row>
        <row r="4">
          <cell r="C4">
            <v>2022</v>
          </cell>
        </row>
        <row r="5">
          <cell r="C5">
            <v>2023</v>
          </cell>
        </row>
        <row r="6">
          <cell r="C6">
            <v>2024</v>
          </cell>
        </row>
        <row r="7">
          <cell r="C7">
            <v>2025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2"/>
  <sheetViews>
    <sheetView topLeftCell="A63" zoomScale="85" zoomScaleNormal="85" zoomScaleSheetLayoutView="75" workbookViewId="0">
      <selection activeCell="G67" sqref="G67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" customWidth="1"/>
    <col min="10" max="10" width="12.28515625" style="2" customWidth="1"/>
    <col min="11" max="11" width="15" style="2" hidden="1" customWidth="1"/>
    <col min="12" max="12" width="16.85546875" style="2" hidden="1" customWidth="1"/>
    <col min="13" max="13" width="0" style="2" hidden="1" customWidth="1"/>
    <col min="14" max="15" width="14.140625" style="2" hidden="1" customWidth="1"/>
    <col min="16" max="16" width="0" style="2" hidden="1" customWidth="1"/>
    <col min="17" max="18" width="12.7109375" style="2" hidden="1" customWidth="1"/>
    <col min="19" max="16384" width="9.140625" style="2"/>
  </cols>
  <sheetData>
    <row r="1" spans="1:9" ht="12.75" customHeight="1" x14ac:dyDescent="0.25">
      <c r="A1" s="220" t="s">
        <v>110</v>
      </c>
      <c r="B1" s="220"/>
      <c r="C1" s="220"/>
      <c r="D1" s="220"/>
      <c r="E1" s="220"/>
      <c r="F1" s="220"/>
      <c r="G1" s="220"/>
      <c r="H1" s="220"/>
      <c r="I1" s="220"/>
    </row>
    <row r="2" spans="1:9" ht="12.75" customHeight="1" x14ac:dyDescent="0.25">
      <c r="A2" s="220" t="s">
        <v>0</v>
      </c>
      <c r="B2" s="220"/>
      <c r="C2" s="220"/>
      <c r="D2" s="220"/>
      <c r="E2" s="220"/>
      <c r="F2" s="220"/>
      <c r="G2" s="220"/>
      <c r="H2" s="220"/>
      <c r="I2" s="220"/>
    </row>
    <row r="3" spans="1:9" ht="12.75" customHeight="1" x14ac:dyDescent="0.25">
      <c r="A3" s="220" t="s">
        <v>73</v>
      </c>
      <c r="B3" s="220"/>
      <c r="C3" s="220"/>
      <c r="D3" s="220"/>
      <c r="E3" s="220"/>
      <c r="F3" s="220"/>
      <c r="G3" s="220"/>
      <c r="H3" s="220"/>
      <c r="I3" s="220"/>
    </row>
    <row r="4" spans="1:9" ht="12.75" customHeight="1" x14ac:dyDescent="0.25">
      <c r="A4" s="220" t="s">
        <v>74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5">
      <c r="A5" s="220" t="s">
        <v>67</v>
      </c>
      <c r="B5" s="220"/>
      <c r="C5" s="220"/>
      <c r="D5" s="220"/>
      <c r="E5" s="220"/>
      <c r="F5" s="220"/>
      <c r="G5" s="220"/>
      <c r="H5" s="220"/>
      <c r="I5" s="220"/>
    </row>
    <row r="6" spans="1:9" x14ac:dyDescent="0.25">
      <c r="A6" s="3"/>
      <c r="D6" s="4"/>
      <c r="E6" s="4"/>
      <c r="F6" s="4"/>
      <c r="G6" s="4"/>
      <c r="H6" s="4"/>
      <c r="I6" s="4"/>
    </row>
    <row r="7" spans="1:9" s="5" customFormat="1" ht="42.75" customHeight="1" x14ac:dyDescent="0.25">
      <c r="A7" s="221" t="s">
        <v>76</v>
      </c>
      <c r="B7" s="221"/>
      <c r="C7" s="221"/>
      <c r="D7" s="221"/>
      <c r="E7" s="221"/>
      <c r="F7" s="221"/>
      <c r="G7" s="221"/>
      <c r="H7" s="221"/>
      <c r="I7" s="221"/>
    </row>
    <row r="8" spans="1:9" s="5" customFormat="1" x14ac:dyDescent="0.25">
      <c r="A8" s="7"/>
      <c r="B8" s="63"/>
      <c r="C8" s="63"/>
      <c r="D8" s="8"/>
      <c r="E8" s="8"/>
      <c r="F8" s="8"/>
      <c r="G8" s="8"/>
      <c r="H8" s="8"/>
      <c r="I8" s="8"/>
    </row>
    <row r="9" spans="1:9" s="5" customFormat="1" ht="15.75" customHeight="1" thickBot="1" x14ac:dyDescent="0.3">
      <c r="A9" s="222" t="s">
        <v>1</v>
      </c>
      <c r="B9" s="222"/>
      <c r="C9" s="222"/>
      <c r="D9" s="222"/>
      <c r="E9" s="222"/>
      <c r="F9" s="222"/>
      <c r="G9" s="222"/>
      <c r="H9" s="222"/>
      <c r="I9" s="222"/>
    </row>
    <row r="10" spans="1:9" s="5" customFormat="1" ht="13.5" customHeight="1" thickBot="1" x14ac:dyDescent="0.3">
      <c r="A10" s="223" t="s">
        <v>2</v>
      </c>
      <c r="B10" s="61"/>
      <c r="C10" s="61"/>
      <c r="D10" s="225" t="s">
        <v>3</v>
      </c>
      <c r="E10" s="226"/>
      <c r="F10" s="225" t="s">
        <v>46</v>
      </c>
      <c r="G10" s="226"/>
      <c r="H10" s="225" t="s">
        <v>75</v>
      </c>
      <c r="I10" s="226"/>
    </row>
    <row r="11" spans="1:9" s="5" customFormat="1" ht="56.25" customHeight="1" thickBot="1" x14ac:dyDescent="0.3">
      <c r="A11" s="224"/>
      <c r="B11" s="62"/>
      <c r="C11" s="62"/>
      <c r="D11" s="9" t="s">
        <v>4</v>
      </c>
      <c r="E11" s="10" t="s">
        <v>5</v>
      </c>
      <c r="F11" s="9" t="s">
        <v>4</v>
      </c>
      <c r="G11" s="10" t="s">
        <v>5</v>
      </c>
      <c r="H11" s="9" t="s">
        <v>4</v>
      </c>
      <c r="I11" s="10" t="s">
        <v>5</v>
      </c>
    </row>
    <row r="12" spans="1:9" s="5" customFormat="1" ht="21" customHeight="1" x14ac:dyDescent="0.25">
      <c r="A12" s="11" t="s">
        <v>6</v>
      </c>
      <c r="B12" s="63"/>
      <c r="C12" s="63"/>
      <c r="D12" s="6"/>
      <c r="E12" s="6"/>
      <c r="F12" s="6"/>
      <c r="G12" s="6"/>
      <c r="H12" s="6"/>
      <c r="I12" s="6"/>
    </row>
    <row r="13" spans="1:9" s="5" customFormat="1" ht="12.75" customHeight="1" thickBot="1" x14ac:dyDescent="0.3">
      <c r="B13" s="63"/>
      <c r="C13" s="63"/>
      <c r="D13" s="6"/>
      <c r="E13" s="6"/>
      <c r="F13" s="6"/>
      <c r="G13" s="6"/>
      <c r="H13" s="6"/>
      <c r="I13" s="6"/>
    </row>
    <row r="14" spans="1:9" s="14" customFormat="1" ht="33.75" customHeight="1" x14ac:dyDescent="0.25">
      <c r="A14" s="12" t="s">
        <v>7</v>
      </c>
      <c r="B14" s="66"/>
      <c r="C14" s="66"/>
      <c r="D14" s="13">
        <f t="shared" ref="D14:I14" si="0">SUM(D15:D17)</f>
        <v>2991.7</v>
      </c>
      <c r="E14" s="13">
        <f>SUM(E15:E17)</f>
        <v>242.6</v>
      </c>
      <c r="F14" s="13">
        <f t="shared" si="0"/>
        <v>2922.4</v>
      </c>
      <c r="G14" s="13">
        <f t="shared" si="0"/>
        <v>237</v>
      </c>
      <c r="H14" s="13">
        <f t="shared" si="0"/>
        <v>2093.3000000000002</v>
      </c>
      <c r="I14" s="13">
        <f t="shared" si="0"/>
        <v>169.7</v>
      </c>
    </row>
    <row r="15" spans="1:9" s="16" customFormat="1" ht="47.25" customHeight="1" x14ac:dyDescent="0.25">
      <c r="A15" s="85" t="s">
        <v>8</v>
      </c>
      <c r="B15" s="67">
        <v>902</v>
      </c>
      <c r="C15" s="67" t="s">
        <v>48</v>
      </c>
      <c r="D15" s="15">
        <v>2991.7</v>
      </c>
      <c r="E15" s="15">
        <v>242.6</v>
      </c>
      <c r="F15" s="15">
        <v>2922.4</v>
      </c>
      <c r="G15" s="15">
        <v>237</v>
      </c>
      <c r="H15" s="15">
        <v>2093.3000000000002</v>
      </c>
      <c r="I15" s="15">
        <v>169.7</v>
      </c>
    </row>
    <row r="16" spans="1:9" s="16" customFormat="1" ht="68.25" hidden="1" customHeight="1" x14ac:dyDescent="0.25">
      <c r="A16" s="89"/>
      <c r="B16" s="72"/>
      <c r="C16" s="72"/>
      <c r="D16" s="19"/>
      <c r="E16" s="19"/>
      <c r="F16" s="19"/>
      <c r="G16" s="19"/>
      <c r="H16" s="19"/>
      <c r="I16" s="19"/>
    </row>
    <row r="17" spans="1:18" s="16" customFormat="1" ht="13.5" thickBot="1" x14ac:dyDescent="0.3">
      <c r="A17" s="21"/>
      <c r="B17" s="68"/>
      <c r="C17" s="68"/>
      <c r="D17" s="22"/>
      <c r="E17" s="22"/>
      <c r="F17" s="22"/>
      <c r="G17" s="22"/>
      <c r="H17" s="22"/>
      <c r="I17" s="22"/>
    </row>
    <row r="18" spans="1:18" s="16" customFormat="1" ht="13.5" thickBot="1" x14ac:dyDescent="0.3">
      <c r="A18" s="23"/>
      <c r="B18" s="65"/>
      <c r="C18" s="65"/>
      <c r="D18" s="1"/>
      <c r="E18" s="1"/>
      <c r="F18" s="1"/>
      <c r="G18" s="1"/>
      <c r="H18" s="1"/>
      <c r="I18" s="1"/>
    </row>
    <row r="19" spans="1:18" s="14" customFormat="1" ht="33.75" customHeight="1" x14ac:dyDescent="0.25">
      <c r="A19" s="12" t="s">
        <v>9</v>
      </c>
      <c r="B19" s="66"/>
      <c r="C19" s="66"/>
      <c r="D19" s="24">
        <f t="shared" ref="D19:I19" si="1">SUM(D20:D23)</f>
        <v>35928.700000000004</v>
      </c>
      <c r="E19" s="24">
        <f t="shared" si="1"/>
        <v>361</v>
      </c>
      <c r="F19" s="24">
        <f t="shared" si="1"/>
        <v>36931.200000000004</v>
      </c>
      <c r="G19" s="24">
        <f t="shared" si="1"/>
        <v>371</v>
      </c>
      <c r="H19" s="24">
        <f t="shared" si="1"/>
        <v>10204.699999999999</v>
      </c>
      <c r="I19" s="24">
        <f t="shared" si="1"/>
        <v>381.5</v>
      </c>
    </row>
    <row r="20" spans="1:18" s="25" customFormat="1" ht="64.5" customHeight="1" x14ac:dyDescent="0.25">
      <c r="A20" s="86" t="s">
        <v>10</v>
      </c>
      <c r="B20" s="69">
        <v>907</v>
      </c>
      <c r="C20" s="69" t="s">
        <v>49</v>
      </c>
      <c r="D20" s="15">
        <v>3098.6</v>
      </c>
      <c r="E20" s="15">
        <v>251.3</v>
      </c>
      <c r="F20" s="15">
        <v>3222.5</v>
      </c>
      <c r="G20" s="15">
        <v>261.3</v>
      </c>
      <c r="H20" s="15">
        <v>3351.4</v>
      </c>
      <c r="I20" s="15">
        <v>271.8</v>
      </c>
      <c r="N20" s="25">
        <v>251.19999999999982</v>
      </c>
      <c r="O20" s="25">
        <v>261.29999999999973</v>
      </c>
      <c r="Q20" s="25">
        <f>N20-G20</f>
        <v>-10.100000000000193</v>
      </c>
      <c r="R20" s="25">
        <f>O20-I20</f>
        <v>-10.500000000000284</v>
      </c>
    </row>
    <row r="21" spans="1:18" s="18" customFormat="1" ht="66" customHeight="1" x14ac:dyDescent="0.25">
      <c r="A21" s="119" t="s">
        <v>11</v>
      </c>
      <c r="B21" s="100">
        <v>907</v>
      </c>
      <c r="C21" s="100" t="s">
        <v>50</v>
      </c>
      <c r="D21" s="29">
        <v>31477.3</v>
      </c>
      <c r="E21" s="29"/>
      <c r="F21" s="29">
        <v>32355.9</v>
      </c>
      <c r="G21" s="29"/>
      <c r="H21" s="29">
        <v>5500.5</v>
      </c>
      <c r="I21" s="29"/>
    </row>
    <row r="22" spans="1:18" s="18" customFormat="1" ht="129.75" customHeight="1" x14ac:dyDescent="0.25">
      <c r="A22" s="120" t="s">
        <v>68</v>
      </c>
      <c r="B22" s="97"/>
      <c r="C22" s="97"/>
      <c r="D22" s="98">
        <v>1352.8</v>
      </c>
      <c r="E22" s="102">
        <v>109.7</v>
      </c>
      <c r="F22" s="102">
        <v>1352.8</v>
      </c>
      <c r="G22" s="99">
        <v>109.7</v>
      </c>
      <c r="H22" s="102">
        <v>1352.8</v>
      </c>
      <c r="I22" s="101">
        <v>109.7</v>
      </c>
    </row>
    <row r="23" spans="1:18" s="16" customFormat="1" ht="14.25" customHeight="1" thickBot="1" x14ac:dyDescent="0.3">
      <c r="A23" s="52"/>
      <c r="B23" s="80"/>
      <c r="C23" s="80"/>
      <c r="D23" s="96"/>
      <c r="E23" s="96"/>
      <c r="F23" s="96"/>
      <c r="G23" s="96"/>
      <c r="H23" s="96"/>
      <c r="I23" s="96"/>
    </row>
    <row r="24" spans="1:18" s="16" customFormat="1" ht="13.5" thickBot="1" x14ac:dyDescent="0.3">
      <c r="A24" s="23"/>
      <c r="B24" s="65"/>
      <c r="C24" s="65"/>
      <c r="D24" s="1"/>
      <c r="E24" s="1"/>
      <c r="F24" s="1"/>
      <c r="G24" s="1"/>
      <c r="H24" s="1"/>
      <c r="I24" s="1"/>
    </row>
    <row r="25" spans="1:18" s="14" customFormat="1" ht="45.75" customHeight="1" x14ac:dyDescent="0.25">
      <c r="A25" s="12" t="s">
        <v>12</v>
      </c>
      <c r="B25" s="66"/>
      <c r="C25" s="66"/>
      <c r="D25" s="13">
        <f t="shared" ref="D25:I25" si="2">SUM(D26:D61)</f>
        <v>84873.600000000006</v>
      </c>
      <c r="E25" s="13">
        <f t="shared" si="2"/>
        <v>2826.2</v>
      </c>
      <c r="F25" s="13">
        <f t="shared" si="2"/>
        <v>58594</v>
      </c>
      <c r="G25" s="13">
        <f t="shared" si="2"/>
        <v>1364.3</v>
      </c>
      <c r="H25" s="13">
        <f t="shared" si="2"/>
        <v>191875.30000000002</v>
      </c>
      <c r="I25" s="13">
        <f t="shared" si="2"/>
        <v>2712.3999999999996</v>
      </c>
    </row>
    <row r="26" spans="1:18" s="23" customFormat="1" ht="65.25" customHeight="1" x14ac:dyDescent="0.25">
      <c r="A26" s="27" t="s">
        <v>13</v>
      </c>
      <c r="B26" s="71">
        <v>914</v>
      </c>
      <c r="C26" s="71" t="s">
        <v>51</v>
      </c>
      <c r="D26" s="15">
        <v>102.1</v>
      </c>
      <c r="E26" s="15">
        <v>8.3000000000000007</v>
      </c>
      <c r="F26" s="15">
        <v>107.1</v>
      </c>
      <c r="G26" s="15">
        <v>8.6999999999999993</v>
      </c>
      <c r="H26" s="15">
        <v>110.9</v>
      </c>
      <c r="I26" s="15">
        <v>9</v>
      </c>
    </row>
    <row r="27" spans="1:18" s="23" customFormat="1" ht="68.25" customHeight="1" x14ac:dyDescent="0.25">
      <c r="A27" s="27" t="s">
        <v>14</v>
      </c>
      <c r="B27" s="71">
        <v>914</v>
      </c>
      <c r="C27" s="71" t="s">
        <v>51</v>
      </c>
      <c r="D27" s="15">
        <v>188.4</v>
      </c>
      <c r="E27" s="15">
        <v>15.3</v>
      </c>
      <c r="F27" s="15">
        <v>198.8</v>
      </c>
      <c r="G27" s="15">
        <v>16.2</v>
      </c>
      <c r="H27" s="15">
        <v>206.8</v>
      </c>
      <c r="I27" s="15">
        <v>16.8</v>
      </c>
    </row>
    <row r="28" spans="1:18" s="23" customFormat="1" ht="75.75" customHeight="1" x14ac:dyDescent="0.25">
      <c r="A28" s="27" t="s">
        <v>78</v>
      </c>
      <c r="B28" s="71">
        <v>914</v>
      </c>
      <c r="C28" s="71" t="s">
        <v>52</v>
      </c>
      <c r="D28" s="15">
        <v>11775.9</v>
      </c>
      <c r="E28" s="15">
        <v>954.9</v>
      </c>
      <c r="F28" s="15"/>
      <c r="G28" s="15"/>
      <c r="H28" s="15"/>
      <c r="I28" s="15"/>
    </row>
    <row r="29" spans="1:18" s="23" customFormat="1" ht="87" customHeight="1" x14ac:dyDescent="0.25">
      <c r="A29" s="28" t="s">
        <v>15</v>
      </c>
      <c r="B29" s="67">
        <v>914</v>
      </c>
      <c r="C29" s="67" t="s">
        <v>53</v>
      </c>
      <c r="D29" s="29">
        <v>10570.1</v>
      </c>
      <c r="E29" s="15">
        <v>857.4</v>
      </c>
      <c r="F29" s="29">
        <v>10570.1</v>
      </c>
      <c r="G29" s="15">
        <v>857.4</v>
      </c>
      <c r="H29" s="29">
        <v>10570.1</v>
      </c>
      <c r="I29" s="15">
        <v>857.4</v>
      </c>
    </row>
    <row r="30" spans="1:18" s="23" customFormat="1" ht="45" customHeight="1" x14ac:dyDescent="0.25">
      <c r="A30" s="30" t="s">
        <v>81</v>
      </c>
      <c r="B30" s="72">
        <v>914</v>
      </c>
      <c r="C30" s="72" t="s">
        <v>52</v>
      </c>
      <c r="D30" s="26">
        <v>1339.3</v>
      </c>
      <c r="E30" s="19">
        <f>108.6-92.8</f>
        <v>15.799999999999997</v>
      </c>
      <c r="F30" s="26"/>
      <c r="G30" s="19"/>
      <c r="H30" s="26"/>
      <c r="I30" s="19"/>
    </row>
    <row r="31" spans="1:18" s="23" customFormat="1" ht="64.5" customHeight="1" x14ac:dyDescent="0.25">
      <c r="A31" s="92" t="s">
        <v>60</v>
      </c>
      <c r="B31" s="70"/>
      <c r="C31" s="70"/>
      <c r="D31" s="26">
        <v>5061.8</v>
      </c>
      <c r="E31" s="26">
        <v>410.5</v>
      </c>
      <c r="F31" s="19"/>
      <c r="G31" s="19"/>
      <c r="H31" s="26"/>
      <c r="I31" s="19"/>
    </row>
    <row r="32" spans="1:18" s="23" customFormat="1" ht="64.5" customHeight="1" x14ac:dyDescent="0.25">
      <c r="A32" s="31" t="s">
        <v>83</v>
      </c>
      <c r="B32" s="91"/>
      <c r="C32" s="70"/>
      <c r="D32" s="26"/>
      <c r="E32" s="26"/>
      <c r="F32" s="19">
        <v>2970</v>
      </c>
      <c r="G32" s="19">
        <v>30</v>
      </c>
      <c r="H32" s="19"/>
      <c r="I32" s="19"/>
    </row>
    <row r="33" spans="1:9" s="23" customFormat="1" ht="64.5" customHeight="1" x14ac:dyDescent="0.25">
      <c r="A33" s="31" t="s">
        <v>84</v>
      </c>
      <c r="B33" s="91"/>
      <c r="C33" s="70"/>
      <c r="D33" s="26"/>
      <c r="E33" s="26"/>
      <c r="F33" s="19">
        <v>6138</v>
      </c>
      <c r="G33" s="19">
        <v>62</v>
      </c>
      <c r="H33" s="19"/>
      <c r="I33" s="19"/>
    </row>
    <row r="34" spans="1:9" s="23" customFormat="1" ht="64.5" customHeight="1" x14ac:dyDescent="0.25">
      <c r="A34" s="31" t="s">
        <v>65</v>
      </c>
      <c r="B34" s="91"/>
      <c r="C34" s="70"/>
      <c r="D34" s="26"/>
      <c r="E34" s="26"/>
      <c r="F34" s="19">
        <v>7128</v>
      </c>
      <c r="G34" s="19">
        <v>72</v>
      </c>
      <c r="H34" s="19"/>
      <c r="I34" s="19"/>
    </row>
    <row r="35" spans="1:9" s="23" customFormat="1" ht="64.5" customHeight="1" x14ac:dyDescent="0.25">
      <c r="A35" s="31" t="s">
        <v>85</v>
      </c>
      <c r="B35" s="91"/>
      <c r="C35" s="70"/>
      <c r="D35" s="26"/>
      <c r="E35" s="26"/>
      <c r="F35" s="19">
        <v>2178</v>
      </c>
      <c r="G35" s="19">
        <v>22</v>
      </c>
      <c r="H35" s="19"/>
      <c r="I35" s="19"/>
    </row>
    <row r="36" spans="1:9" s="23" customFormat="1" ht="64.5" customHeight="1" x14ac:dyDescent="0.25">
      <c r="A36" s="31" t="s">
        <v>86</v>
      </c>
      <c r="B36" s="91"/>
      <c r="C36" s="70"/>
      <c r="D36" s="26"/>
      <c r="E36" s="26"/>
      <c r="F36" s="19">
        <v>3465</v>
      </c>
      <c r="G36" s="19">
        <v>35</v>
      </c>
      <c r="H36" s="19"/>
      <c r="I36" s="19"/>
    </row>
    <row r="37" spans="1:9" s="23" customFormat="1" ht="64.5" customHeight="1" x14ac:dyDescent="0.25">
      <c r="A37" s="31" t="s">
        <v>87</v>
      </c>
      <c r="B37" s="91"/>
      <c r="C37" s="70"/>
      <c r="D37" s="26"/>
      <c r="E37" s="26"/>
      <c r="F37" s="19">
        <v>5544</v>
      </c>
      <c r="G37" s="19">
        <v>56</v>
      </c>
      <c r="H37" s="19"/>
      <c r="I37" s="19"/>
    </row>
    <row r="38" spans="1:9" s="23" customFormat="1" ht="64.5" customHeight="1" x14ac:dyDescent="0.25">
      <c r="A38" s="31" t="s">
        <v>89</v>
      </c>
      <c r="B38" s="91"/>
      <c r="C38" s="70"/>
      <c r="D38" s="26"/>
      <c r="E38" s="26"/>
      <c r="F38" s="19"/>
      <c r="G38" s="19"/>
      <c r="H38" s="19">
        <v>10695.9</v>
      </c>
      <c r="I38" s="19">
        <v>108.1</v>
      </c>
    </row>
    <row r="39" spans="1:9" s="23" customFormat="1" ht="64.5" customHeight="1" x14ac:dyDescent="0.25">
      <c r="A39" s="31" t="s">
        <v>90</v>
      </c>
      <c r="B39" s="91"/>
      <c r="C39" s="70"/>
      <c r="D39" s="26"/>
      <c r="E39" s="26"/>
      <c r="F39" s="19"/>
      <c r="G39" s="19"/>
      <c r="H39" s="19">
        <v>6938.5</v>
      </c>
      <c r="I39" s="19">
        <v>70.099999999999994</v>
      </c>
    </row>
    <row r="40" spans="1:9" s="23" customFormat="1" ht="64.5" customHeight="1" x14ac:dyDescent="0.25">
      <c r="A40" s="31" t="s">
        <v>91</v>
      </c>
      <c r="B40" s="91"/>
      <c r="C40" s="70"/>
      <c r="D40" s="26"/>
      <c r="E40" s="26"/>
      <c r="F40" s="19"/>
      <c r="G40" s="19"/>
      <c r="H40" s="19">
        <v>2249.1999999999998</v>
      </c>
      <c r="I40" s="19">
        <v>22.8</v>
      </c>
    </row>
    <row r="41" spans="1:9" s="23" customFormat="1" ht="64.5" customHeight="1" x14ac:dyDescent="0.25">
      <c r="A41" s="31" t="s">
        <v>92</v>
      </c>
      <c r="B41" s="91"/>
      <c r="C41" s="70"/>
      <c r="D41" s="26"/>
      <c r="E41" s="26"/>
      <c r="F41" s="19"/>
      <c r="G41" s="19"/>
      <c r="H41" s="19">
        <v>2313.5</v>
      </c>
      <c r="I41" s="19">
        <v>23.4</v>
      </c>
    </row>
    <row r="42" spans="1:9" s="23" customFormat="1" ht="64.5" customHeight="1" x14ac:dyDescent="0.25">
      <c r="A42" s="31" t="s">
        <v>93</v>
      </c>
      <c r="B42" s="91"/>
      <c r="C42" s="70"/>
      <c r="D42" s="26"/>
      <c r="E42" s="26"/>
      <c r="F42" s="19"/>
      <c r="G42" s="19"/>
      <c r="H42" s="19">
        <v>4010</v>
      </c>
      <c r="I42" s="19">
        <v>40.6</v>
      </c>
    </row>
    <row r="43" spans="1:9" s="23" customFormat="1" ht="64.5" customHeight="1" x14ac:dyDescent="0.25">
      <c r="A43" s="31" t="s">
        <v>94</v>
      </c>
      <c r="B43" s="91"/>
      <c r="C43" s="70"/>
      <c r="D43" s="26"/>
      <c r="E43" s="26"/>
      <c r="F43" s="19"/>
      <c r="G43" s="19"/>
      <c r="H43" s="19">
        <v>24897.5</v>
      </c>
      <c r="I43" s="19">
        <v>251.5</v>
      </c>
    </row>
    <row r="44" spans="1:9" s="23" customFormat="1" ht="64.5" customHeight="1" x14ac:dyDescent="0.25">
      <c r="A44" s="90" t="s">
        <v>95</v>
      </c>
      <c r="B44" s="91"/>
      <c r="C44" s="70"/>
      <c r="D44" s="26"/>
      <c r="E44" s="26"/>
      <c r="F44" s="19"/>
      <c r="G44" s="19"/>
      <c r="H44" s="19">
        <v>12455.8</v>
      </c>
      <c r="I44" s="19">
        <v>125.9</v>
      </c>
    </row>
    <row r="45" spans="1:9" s="23" customFormat="1" ht="64.5" customHeight="1" x14ac:dyDescent="0.25">
      <c r="A45" s="92" t="s">
        <v>96</v>
      </c>
      <c r="B45" s="91"/>
      <c r="C45" s="70"/>
      <c r="D45" s="26"/>
      <c r="E45" s="26"/>
      <c r="F45" s="19"/>
      <c r="G45" s="19"/>
      <c r="H45" s="19">
        <v>1409.6</v>
      </c>
      <c r="I45" s="19">
        <v>14.3</v>
      </c>
    </row>
    <row r="46" spans="1:9" s="23" customFormat="1" ht="64.5" customHeight="1" x14ac:dyDescent="0.25">
      <c r="A46" s="90" t="s">
        <v>97</v>
      </c>
      <c r="B46" s="91"/>
      <c r="C46" s="70"/>
      <c r="D46" s="26"/>
      <c r="E46" s="26"/>
      <c r="F46" s="19"/>
      <c r="G46" s="19"/>
      <c r="H46" s="19">
        <v>7780</v>
      </c>
      <c r="I46" s="19">
        <v>78.599999999999994</v>
      </c>
    </row>
    <row r="47" spans="1:9" s="23" customFormat="1" ht="64.5" customHeight="1" x14ac:dyDescent="0.25">
      <c r="A47" s="90" t="s">
        <v>98</v>
      </c>
      <c r="B47" s="91"/>
      <c r="C47" s="70"/>
      <c r="D47" s="26"/>
      <c r="E47" s="26"/>
      <c r="F47" s="19"/>
      <c r="G47" s="19"/>
      <c r="H47" s="19">
        <v>4798.7</v>
      </c>
      <c r="I47" s="19">
        <v>48.5</v>
      </c>
    </row>
    <row r="48" spans="1:9" s="23" customFormat="1" ht="64.5" customHeight="1" x14ac:dyDescent="0.25">
      <c r="A48" s="90" t="s">
        <v>99</v>
      </c>
      <c r="B48" s="91"/>
      <c r="C48" s="70"/>
      <c r="D48" s="26"/>
      <c r="E48" s="26"/>
      <c r="F48" s="19"/>
      <c r="G48" s="19"/>
      <c r="H48" s="19">
        <v>25644.3</v>
      </c>
      <c r="I48" s="19">
        <v>259.10000000000002</v>
      </c>
    </row>
    <row r="49" spans="1:9" s="23" customFormat="1" ht="64.5" customHeight="1" x14ac:dyDescent="0.25">
      <c r="A49" s="90" t="s">
        <v>100</v>
      </c>
      <c r="B49" s="91"/>
      <c r="C49" s="70"/>
      <c r="D49" s="26"/>
      <c r="E49" s="26"/>
      <c r="F49" s="19"/>
      <c r="G49" s="19"/>
      <c r="H49" s="19">
        <v>6658.9</v>
      </c>
      <c r="I49" s="19">
        <v>67.3</v>
      </c>
    </row>
    <row r="50" spans="1:9" s="23" customFormat="1" ht="64.5" customHeight="1" x14ac:dyDescent="0.25">
      <c r="A50" s="90" t="s">
        <v>101</v>
      </c>
      <c r="B50" s="91"/>
      <c r="C50" s="70"/>
      <c r="D50" s="26"/>
      <c r="E50" s="26"/>
      <c r="F50" s="19"/>
      <c r="G50" s="19"/>
      <c r="H50" s="19">
        <v>4048.7</v>
      </c>
      <c r="I50" s="19">
        <v>40.9</v>
      </c>
    </row>
    <row r="51" spans="1:9" s="23" customFormat="1" ht="64.5" customHeight="1" x14ac:dyDescent="0.25">
      <c r="A51" s="92" t="s">
        <v>102</v>
      </c>
      <c r="B51" s="91"/>
      <c r="C51" s="70"/>
      <c r="D51" s="26"/>
      <c r="E51" s="26"/>
      <c r="F51" s="19"/>
      <c r="G51" s="19"/>
      <c r="H51" s="19">
        <v>2232.1</v>
      </c>
      <c r="I51" s="19">
        <v>22.6</v>
      </c>
    </row>
    <row r="52" spans="1:9" s="23" customFormat="1" ht="64.5" customHeight="1" x14ac:dyDescent="0.25">
      <c r="A52" s="90" t="s">
        <v>103</v>
      </c>
      <c r="B52" s="91"/>
      <c r="C52" s="70"/>
      <c r="D52" s="26"/>
      <c r="E52" s="26"/>
      <c r="F52" s="19"/>
      <c r="G52" s="19"/>
      <c r="H52" s="115">
        <v>2244.1</v>
      </c>
      <c r="I52" s="19">
        <v>22.7</v>
      </c>
    </row>
    <row r="53" spans="1:9" s="23" customFormat="1" ht="64.5" customHeight="1" x14ac:dyDescent="0.25">
      <c r="A53" s="90" t="s">
        <v>104</v>
      </c>
      <c r="B53" s="91"/>
      <c r="C53" s="70"/>
      <c r="D53" s="26"/>
      <c r="E53" s="26"/>
      <c r="F53" s="19"/>
      <c r="G53" s="19"/>
      <c r="H53" s="115">
        <v>15993</v>
      </c>
      <c r="I53" s="19">
        <v>161.6</v>
      </c>
    </row>
    <row r="54" spans="1:9" s="23" customFormat="1" ht="64.5" customHeight="1" x14ac:dyDescent="0.25">
      <c r="A54" s="90" t="s">
        <v>105</v>
      </c>
      <c r="B54" s="91"/>
      <c r="C54" s="70"/>
      <c r="D54" s="26"/>
      <c r="E54" s="26"/>
      <c r="F54" s="19"/>
      <c r="G54" s="19"/>
      <c r="H54" s="115">
        <v>3744.1</v>
      </c>
      <c r="I54" s="19">
        <v>37.9</v>
      </c>
    </row>
    <row r="55" spans="1:9" s="23" customFormat="1" ht="64.5" customHeight="1" x14ac:dyDescent="0.25">
      <c r="A55" s="90" t="s">
        <v>106</v>
      </c>
      <c r="B55" s="91"/>
      <c r="C55" s="70"/>
      <c r="D55" s="26"/>
      <c r="E55" s="26"/>
      <c r="F55" s="19"/>
      <c r="G55" s="19"/>
      <c r="H55" s="115">
        <v>5672.9</v>
      </c>
      <c r="I55" s="19">
        <v>57.4</v>
      </c>
    </row>
    <row r="56" spans="1:9" s="23" customFormat="1" ht="64.5" customHeight="1" x14ac:dyDescent="0.25">
      <c r="A56" s="90" t="s">
        <v>107</v>
      </c>
      <c r="B56" s="91"/>
      <c r="C56" s="70"/>
      <c r="D56" s="26"/>
      <c r="E56" s="26"/>
      <c r="F56" s="19"/>
      <c r="G56" s="19"/>
      <c r="H56" s="117">
        <v>33678.300000000003</v>
      </c>
      <c r="I56" s="19">
        <v>340.2</v>
      </c>
    </row>
    <row r="57" spans="1:9" s="23" customFormat="1" ht="64.5" customHeight="1" x14ac:dyDescent="0.25">
      <c r="A57" s="90" t="s">
        <v>108</v>
      </c>
      <c r="B57" s="91"/>
      <c r="C57" s="70"/>
      <c r="D57" s="26"/>
      <c r="E57" s="26"/>
      <c r="F57" s="19"/>
      <c r="G57" s="116"/>
      <c r="H57" s="118">
        <v>1485.6</v>
      </c>
      <c r="I57" s="95">
        <v>15.1</v>
      </c>
    </row>
    <row r="58" spans="1:9" s="23" customFormat="1" ht="64.5" customHeight="1" x14ac:dyDescent="0.25">
      <c r="A58" s="90" t="s">
        <v>109</v>
      </c>
      <c r="B58" s="91"/>
      <c r="C58" s="70"/>
      <c r="D58" s="26"/>
      <c r="E58" s="26"/>
      <c r="F58" s="19"/>
      <c r="G58" s="116"/>
      <c r="H58" s="118">
        <v>2036.8</v>
      </c>
      <c r="I58" s="95">
        <v>20.6</v>
      </c>
    </row>
    <row r="59" spans="1:9" s="23" customFormat="1" ht="64.5" customHeight="1" x14ac:dyDescent="0.25">
      <c r="A59" s="31" t="s">
        <v>88</v>
      </c>
      <c r="B59" s="91"/>
      <c r="C59" s="70"/>
      <c r="D59" s="26"/>
      <c r="E59" s="26"/>
      <c r="F59" s="19">
        <v>20295</v>
      </c>
      <c r="G59" s="19">
        <v>205</v>
      </c>
      <c r="H59" s="19"/>
      <c r="I59" s="19"/>
    </row>
    <row r="60" spans="1:9" s="23" customFormat="1" ht="42.75" customHeight="1" x14ac:dyDescent="0.25">
      <c r="A60" s="31" t="s">
        <v>79</v>
      </c>
      <c r="B60" s="91"/>
      <c r="C60" s="70"/>
      <c r="D60" s="26">
        <v>55836</v>
      </c>
      <c r="E60" s="26">
        <v>564</v>
      </c>
      <c r="F60" s="19"/>
      <c r="G60" s="19"/>
      <c r="H60" s="19"/>
      <c r="I60" s="19"/>
    </row>
    <row r="61" spans="1:9" s="23" customFormat="1" ht="13.5" customHeight="1" thickBot="1" x14ac:dyDescent="0.3">
      <c r="A61" s="21"/>
      <c r="B61" s="68"/>
      <c r="C61" s="68"/>
      <c r="D61" s="22"/>
      <c r="E61" s="22"/>
      <c r="F61" s="22"/>
      <c r="G61" s="22"/>
      <c r="H61" s="22"/>
      <c r="I61" s="22"/>
    </row>
    <row r="62" spans="1:9" s="23" customFormat="1" ht="15" customHeight="1" thickBot="1" x14ac:dyDescent="0.3">
      <c r="B62" s="65"/>
      <c r="C62" s="65"/>
      <c r="D62" s="1"/>
      <c r="E62" s="1"/>
      <c r="F62" s="1"/>
      <c r="G62" s="1"/>
      <c r="H62" s="1"/>
      <c r="I62" s="1"/>
    </row>
    <row r="63" spans="1:9" s="23" customFormat="1" ht="59.25" customHeight="1" x14ac:dyDescent="0.25">
      <c r="A63" s="12" t="s">
        <v>16</v>
      </c>
      <c r="B63" s="66"/>
      <c r="C63" s="66"/>
      <c r="D63" s="13">
        <f t="shared" ref="D63:I63" si="3">SUM(D64:D72)</f>
        <v>1778.5</v>
      </c>
      <c r="E63" s="13">
        <f t="shared" si="3"/>
        <v>122.4</v>
      </c>
      <c r="F63" s="13">
        <f t="shared" si="3"/>
        <v>2117.1</v>
      </c>
      <c r="G63" s="13">
        <f t="shared" si="3"/>
        <v>149.80000000000001</v>
      </c>
      <c r="H63" s="13">
        <f t="shared" si="3"/>
        <v>481.6</v>
      </c>
      <c r="I63" s="13">
        <f t="shared" si="3"/>
        <v>39.1</v>
      </c>
    </row>
    <row r="64" spans="1:9" s="23" customFormat="1" ht="80.25" customHeight="1" x14ac:dyDescent="0.25">
      <c r="A64" s="27" t="s">
        <v>17</v>
      </c>
      <c r="B64" s="71">
        <v>906</v>
      </c>
      <c r="C64" s="71" t="s">
        <v>55</v>
      </c>
      <c r="D64" s="15">
        <v>482.4</v>
      </c>
      <c r="E64" s="15">
        <v>39.200000000000003</v>
      </c>
      <c r="F64" s="15">
        <v>626.4</v>
      </c>
      <c r="G64" s="15">
        <v>50.8</v>
      </c>
      <c r="H64" s="15"/>
      <c r="I64" s="15"/>
    </row>
    <row r="65" spans="1:9" s="23" customFormat="1" ht="80.25" hidden="1" customHeight="1" x14ac:dyDescent="0.25">
      <c r="A65" s="27" t="s">
        <v>64</v>
      </c>
      <c r="B65" s="71"/>
      <c r="C65" s="71"/>
      <c r="D65" s="15"/>
      <c r="E65" s="15"/>
      <c r="F65" s="15"/>
      <c r="G65" s="15"/>
      <c r="H65" s="15"/>
      <c r="I65" s="15"/>
    </row>
    <row r="66" spans="1:9" s="23" customFormat="1" ht="57.75" customHeight="1" x14ac:dyDescent="0.25">
      <c r="A66" s="27" t="s">
        <v>18</v>
      </c>
      <c r="B66" s="71">
        <v>906</v>
      </c>
      <c r="C66" s="71" t="s">
        <v>49</v>
      </c>
      <c r="D66" s="15">
        <v>481.6</v>
      </c>
      <c r="E66" s="15">
        <v>39.1</v>
      </c>
      <c r="F66" s="15">
        <v>481.6</v>
      </c>
      <c r="G66" s="15">
        <v>39.1</v>
      </c>
      <c r="H66" s="15">
        <v>481.6</v>
      </c>
      <c r="I66" s="15">
        <v>39.1</v>
      </c>
    </row>
    <row r="67" spans="1:9" s="23" customFormat="1" ht="80.25" customHeight="1" x14ac:dyDescent="0.25">
      <c r="A67" s="31" t="s">
        <v>17</v>
      </c>
      <c r="B67" s="73"/>
      <c r="C67" s="73"/>
      <c r="D67" s="19">
        <v>328.1</v>
      </c>
      <c r="E67" s="19">
        <v>4.5999999999999996</v>
      </c>
      <c r="F67" s="19">
        <v>328.1</v>
      </c>
      <c r="G67" s="19">
        <v>4.5999999999999996</v>
      </c>
      <c r="H67" s="19"/>
      <c r="I67" s="19"/>
    </row>
    <row r="68" spans="1:9" s="23" customFormat="1" ht="70.5" customHeight="1" x14ac:dyDescent="0.25">
      <c r="A68" s="31" t="s">
        <v>77</v>
      </c>
      <c r="B68" s="73">
        <v>906</v>
      </c>
      <c r="C68" s="73" t="s">
        <v>55</v>
      </c>
      <c r="D68" s="19">
        <v>486.4</v>
      </c>
      <c r="E68" s="19">
        <v>39.5</v>
      </c>
      <c r="F68" s="19">
        <v>681</v>
      </c>
      <c r="G68" s="19">
        <v>55.3</v>
      </c>
      <c r="H68" s="19"/>
      <c r="I68" s="19"/>
    </row>
    <row r="69" spans="1:9" s="23" customFormat="1" ht="70.5" hidden="1" customHeight="1" x14ac:dyDescent="0.25">
      <c r="A69" s="31" t="s">
        <v>47</v>
      </c>
      <c r="B69" s="73">
        <v>906</v>
      </c>
      <c r="C69" s="73" t="s">
        <v>55</v>
      </c>
      <c r="D69" s="19"/>
      <c r="E69" s="19"/>
      <c r="F69" s="19"/>
      <c r="G69" s="19"/>
      <c r="H69" s="19"/>
      <c r="I69" s="19"/>
    </row>
    <row r="70" spans="1:9" s="23" customFormat="1" ht="70.5" hidden="1" customHeight="1" x14ac:dyDescent="0.25">
      <c r="A70" s="31"/>
      <c r="B70" s="73"/>
      <c r="C70" s="73"/>
      <c r="D70" s="19"/>
      <c r="E70" s="19"/>
      <c r="F70" s="19"/>
      <c r="G70" s="19"/>
      <c r="H70" s="19"/>
      <c r="I70" s="19"/>
    </row>
    <row r="71" spans="1:9" s="23" customFormat="1" ht="105" hidden="1" customHeight="1" x14ac:dyDescent="0.25">
      <c r="A71" s="43"/>
      <c r="B71" s="73"/>
      <c r="C71" s="73"/>
      <c r="D71" s="19"/>
      <c r="E71" s="19"/>
      <c r="F71" s="19"/>
      <c r="G71" s="19"/>
      <c r="H71" s="19"/>
      <c r="I71" s="19"/>
    </row>
    <row r="72" spans="1:9" s="16" customFormat="1" ht="14.25" customHeight="1" thickBot="1" x14ac:dyDescent="0.3">
      <c r="A72" s="21"/>
      <c r="B72" s="68"/>
      <c r="C72" s="68"/>
      <c r="D72" s="22"/>
      <c r="E72" s="22"/>
      <c r="F72" s="22"/>
      <c r="G72" s="22"/>
      <c r="H72" s="22"/>
      <c r="I72" s="22"/>
    </row>
    <row r="73" spans="1:9" s="16" customFormat="1" ht="13.5" thickBot="1" x14ac:dyDescent="0.3">
      <c r="A73" s="23"/>
      <c r="B73" s="65"/>
      <c r="C73" s="65"/>
      <c r="D73" s="1"/>
      <c r="E73" s="1"/>
      <c r="F73" s="1"/>
      <c r="G73" s="1"/>
      <c r="H73" s="1"/>
      <c r="I73" s="1"/>
    </row>
    <row r="74" spans="1:9" s="23" customFormat="1" ht="59.25" hidden="1" customHeight="1" x14ac:dyDescent="0.25">
      <c r="A74" s="12" t="s">
        <v>19</v>
      </c>
      <c r="B74" s="66"/>
      <c r="C74" s="66"/>
      <c r="D74" s="13">
        <f t="shared" ref="D74:I74" si="4">SUM(D75:D76)</f>
        <v>0</v>
      </c>
      <c r="E74" s="13">
        <f t="shared" si="4"/>
        <v>0</v>
      </c>
      <c r="F74" s="13">
        <f>SUM(F75:F76)</f>
        <v>0</v>
      </c>
      <c r="G74" s="13">
        <f>SUM(G75:G76)</f>
        <v>0</v>
      </c>
      <c r="H74" s="13">
        <f t="shared" si="4"/>
        <v>0</v>
      </c>
      <c r="I74" s="13">
        <f t="shared" si="4"/>
        <v>0</v>
      </c>
    </row>
    <row r="75" spans="1:9" s="16" customFormat="1" ht="33.75" hidden="1" customHeight="1" x14ac:dyDescent="0.25">
      <c r="A75" s="27"/>
      <c r="B75" s="71"/>
      <c r="C75" s="71"/>
      <c r="D75" s="15"/>
      <c r="E75" s="15"/>
      <c r="F75" s="15"/>
      <c r="G75" s="15"/>
      <c r="H75" s="15"/>
      <c r="I75" s="15"/>
    </row>
    <row r="76" spans="1:9" s="16" customFormat="1" ht="13.5" hidden="1" thickBot="1" x14ac:dyDescent="0.3">
      <c r="A76" s="21"/>
      <c r="B76" s="68"/>
      <c r="C76" s="68"/>
      <c r="D76" s="22"/>
      <c r="E76" s="22"/>
      <c r="F76" s="22"/>
      <c r="G76" s="22"/>
      <c r="H76" s="22"/>
      <c r="I76" s="22"/>
    </row>
    <row r="77" spans="1:9" s="16" customFormat="1" ht="13.5" hidden="1" thickBot="1" x14ac:dyDescent="0.3">
      <c r="A77" s="23"/>
      <c r="B77" s="65"/>
      <c r="C77" s="65"/>
      <c r="D77" s="1"/>
      <c r="E77" s="1"/>
      <c r="F77" s="1"/>
      <c r="G77" s="1"/>
      <c r="H77" s="1"/>
      <c r="I77" s="1"/>
    </row>
    <row r="78" spans="1:9" s="16" customFormat="1" ht="57.75" customHeight="1" x14ac:dyDescent="0.25">
      <c r="A78" s="12" t="s">
        <v>20</v>
      </c>
      <c r="B78" s="66"/>
      <c r="C78" s="66"/>
      <c r="D78" s="13">
        <f t="shared" ref="D78:I78" si="5">SUM(D79:D81)</f>
        <v>450.4</v>
      </c>
      <c r="E78" s="13">
        <f t="shared" si="5"/>
        <v>36.5</v>
      </c>
      <c r="F78" s="13">
        <f t="shared" si="5"/>
        <v>449.5</v>
      </c>
      <c r="G78" s="13">
        <f t="shared" si="5"/>
        <v>36.4</v>
      </c>
      <c r="H78" s="13">
        <f t="shared" si="5"/>
        <v>449.5</v>
      </c>
      <c r="I78" s="13">
        <f t="shared" si="5"/>
        <v>36.4</v>
      </c>
    </row>
    <row r="79" spans="1:9" s="16" customFormat="1" ht="75" customHeight="1" x14ac:dyDescent="0.25">
      <c r="A79" s="27" t="s">
        <v>21</v>
      </c>
      <c r="B79" s="71">
        <v>913</v>
      </c>
      <c r="C79" s="71" t="s">
        <v>57</v>
      </c>
      <c r="D79" s="15">
        <v>450.4</v>
      </c>
      <c r="E79" s="15">
        <v>36.5</v>
      </c>
      <c r="F79" s="15">
        <v>449.5</v>
      </c>
      <c r="G79" s="15">
        <v>36.4</v>
      </c>
      <c r="H79" s="15">
        <v>449.5</v>
      </c>
      <c r="I79" s="15">
        <v>36.4</v>
      </c>
    </row>
    <row r="80" spans="1:9" s="16" customFormat="1" ht="75" hidden="1" customHeight="1" x14ac:dyDescent="0.25">
      <c r="A80" s="31" t="s">
        <v>22</v>
      </c>
      <c r="B80" s="73">
        <v>913</v>
      </c>
      <c r="C80" s="73" t="s">
        <v>58</v>
      </c>
      <c r="D80" s="19"/>
      <c r="E80" s="19"/>
      <c r="F80" s="19"/>
      <c r="G80" s="19"/>
      <c r="H80" s="19"/>
      <c r="I80" s="19"/>
    </row>
    <row r="81" spans="1:9" s="16" customFormat="1" ht="15.75" customHeight="1" thickBot="1" x14ac:dyDescent="0.3">
      <c r="A81" s="32"/>
      <c r="B81" s="74"/>
      <c r="C81" s="74"/>
      <c r="D81" s="33"/>
      <c r="E81" s="33"/>
      <c r="F81" s="33"/>
      <c r="G81" s="33"/>
      <c r="H81" s="33"/>
      <c r="I81" s="33"/>
    </row>
    <row r="82" spans="1:9" s="16" customFormat="1" ht="15.75" customHeight="1" thickBot="1" x14ac:dyDescent="0.3">
      <c r="A82" s="14"/>
      <c r="B82" s="63"/>
      <c r="C82" s="63"/>
      <c r="D82" s="6"/>
      <c r="E82" s="6"/>
      <c r="F82" s="6"/>
      <c r="G82" s="6"/>
      <c r="H82" s="6"/>
      <c r="I82" s="6"/>
    </row>
    <row r="83" spans="1:9" s="37" customFormat="1" ht="21" customHeight="1" thickBot="1" x14ac:dyDescent="0.3">
      <c r="A83" s="34" t="s">
        <v>23</v>
      </c>
      <c r="B83" s="75"/>
      <c r="C83" s="75"/>
      <c r="D83" s="35">
        <f t="shared" ref="D83:I83" si="6">SUM(D14,D19,D25,D63,D74,D78)</f>
        <v>126022.9</v>
      </c>
      <c r="E83" s="35">
        <f t="shared" si="6"/>
        <v>3588.7</v>
      </c>
      <c r="F83" s="35">
        <f t="shared" si="6"/>
        <v>101014.20000000001</v>
      </c>
      <c r="G83" s="35">
        <f t="shared" si="6"/>
        <v>2158.5</v>
      </c>
      <c r="H83" s="35">
        <f t="shared" si="6"/>
        <v>205104.40000000002</v>
      </c>
      <c r="I83" s="35">
        <f t="shared" si="6"/>
        <v>3339.0999999999995</v>
      </c>
    </row>
    <row r="84" spans="1:9" s="37" customFormat="1" ht="21" customHeight="1" thickBot="1" x14ac:dyDescent="0.3">
      <c r="A84" s="38"/>
      <c r="B84" s="76"/>
      <c r="C84" s="76"/>
      <c r="D84" s="39"/>
      <c r="E84" s="39"/>
      <c r="F84" s="39"/>
      <c r="G84" s="39"/>
      <c r="H84" s="39"/>
      <c r="I84" s="39"/>
    </row>
    <row r="85" spans="1:9" s="37" customFormat="1" ht="39" customHeight="1" x14ac:dyDescent="0.25">
      <c r="A85" s="12" t="s">
        <v>24</v>
      </c>
      <c r="B85" s="66"/>
      <c r="C85" s="66"/>
      <c r="D85" s="13">
        <f t="shared" ref="D85:I85" si="7">SUM(D86:D90)</f>
        <v>29951.4</v>
      </c>
      <c r="E85" s="13">
        <f t="shared" si="7"/>
        <v>0</v>
      </c>
      <c r="F85" s="13">
        <f t="shared" si="7"/>
        <v>0</v>
      </c>
      <c r="G85" s="13">
        <f t="shared" si="7"/>
        <v>0</v>
      </c>
      <c r="H85" s="13">
        <f t="shared" si="7"/>
        <v>0</v>
      </c>
      <c r="I85" s="13">
        <f t="shared" si="7"/>
        <v>0</v>
      </c>
    </row>
    <row r="86" spans="1:9" s="23" customFormat="1" ht="93" customHeight="1" x14ac:dyDescent="0.25">
      <c r="A86" s="43" t="s">
        <v>82</v>
      </c>
      <c r="B86" s="73">
        <v>904</v>
      </c>
      <c r="C86" s="73" t="s">
        <v>55</v>
      </c>
      <c r="D86" s="19">
        <v>29951.4</v>
      </c>
      <c r="E86" s="19"/>
      <c r="F86" s="19"/>
      <c r="G86" s="19"/>
      <c r="H86" s="19"/>
      <c r="I86" s="19"/>
    </row>
    <row r="87" spans="1:9" s="23" customFormat="1" ht="99.75" hidden="1" customHeight="1" x14ac:dyDescent="0.25">
      <c r="A87" s="43" t="s">
        <v>25</v>
      </c>
      <c r="B87" s="73"/>
      <c r="C87" s="73"/>
      <c r="D87" s="19"/>
      <c r="E87" s="19"/>
      <c r="F87" s="19"/>
      <c r="G87" s="19"/>
      <c r="H87" s="19"/>
      <c r="I87" s="19"/>
    </row>
    <row r="88" spans="1:9" s="23" customFormat="1" ht="99.75" hidden="1" customHeight="1" x14ac:dyDescent="0.25">
      <c r="A88" s="43"/>
      <c r="B88" s="73"/>
      <c r="C88" s="73"/>
      <c r="D88" s="19"/>
      <c r="E88" s="19"/>
      <c r="F88" s="19"/>
      <c r="G88" s="19"/>
      <c r="H88" s="19"/>
      <c r="I88" s="19"/>
    </row>
    <row r="89" spans="1:9" s="23" customFormat="1" ht="75.75" hidden="1" customHeight="1" x14ac:dyDescent="0.25">
      <c r="A89" s="43"/>
      <c r="B89" s="73"/>
      <c r="C89" s="73"/>
      <c r="D89" s="19"/>
      <c r="E89" s="19"/>
      <c r="F89" s="19"/>
      <c r="G89" s="19"/>
      <c r="H89" s="19"/>
      <c r="I89" s="19"/>
    </row>
    <row r="90" spans="1:9" s="37" customFormat="1" ht="13.5" thickBot="1" x14ac:dyDescent="0.3">
      <c r="A90" s="21"/>
      <c r="B90" s="68"/>
      <c r="C90" s="68"/>
      <c r="D90" s="22"/>
      <c r="E90" s="22"/>
      <c r="F90" s="22"/>
      <c r="G90" s="22"/>
      <c r="H90" s="22"/>
      <c r="I90" s="22"/>
    </row>
    <row r="91" spans="1:9" s="37" customFormat="1" ht="13.5" customHeight="1" x14ac:dyDescent="0.25">
      <c r="A91" s="40"/>
      <c r="B91" s="76"/>
      <c r="C91" s="76"/>
      <c r="D91" s="36"/>
      <c r="E91" s="36"/>
      <c r="F91" s="36"/>
      <c r="G91" s="36"/>
      <c r="H91" s="36"/>
      <c r="I91" s="36"/>
    </row>
    <row r="92" spans="1:9" s="37" customFormat="1" ht="30.75" hidden="1" customHeight="1" x14ac:dyDescent="0.25">
      <c r="A92" s="12" t="s">
        <v>26</v>
      </c>
      <c r="B92" s="66"/>
      <c r="C92" s="66"/>
      <c r="D92" s="13">
        <f t="shared" ref="D92:I92" si="8">SUM(D93:D96)</f>
        <v>0</v>
      </c>
      <c r="E92" s="13">
        <f t="shared" si="8"/>
        <v>0</v>
      </c>
      <c r="F92" s="13">
        <f t="shared" si="8"/>
        <v>0</v>
      </c>
      <c r="G92" s="13">
        <f t="shared" si="8"/>
        <v>0</v>
      </c>
      <c r="H92" s="13">
        <f t="shared" si="8"/>
        <v>0</v>
      </c>
      <c r="I92" s="13">
        <f t="shared" si="8"/>
        <v>0</v>
      </c>
    </row>
    <row r="93" spans="1:9" s="23" customFormat="1" ht="120" hidden="1" customHeight="1" x14ac:dyDescent="0.25">
      <c r="A93" s="43" t="s">
        <v>27</v>
      </c>
      <c r="B93" s="73"/>
      <c r="C93" s="73"/>
      <c r="D93" s="19">
        <v>0</v>
      </c>
      <c r="E93" s="19"/>
      <c r="F93" s="19"/>
      <c r="G93" s="19"/>
      <c r="H93" s="19"/>
      <c r="I93" s="19"/>
    </row>
    <row r="94" spans="1:9" s="23" customFormat="1" ht="72.75" hidden="1" customHeight="1" x14ac:dyDescent="0.25">
      <c r="A94" s="43" t="s">
        <v>70</v>
      </c>
      <c r="B94" s="73"/>
      <c r="C94" s="73"/>
      <c r="D94" s="19"/>
      <c r="E94" s="19"/>
      <c r="F94" s="19"/>
      <c r="G94" s="19"/>
      <c r="H94" s="19"/>
      <c r="I94" s="19"/>
    </row>
    <row r="95" spans="1:9" s="23" customFormat="1" ht="72.75" hidden="1" customHeight="1" x14ac:dyDescent="0.25">
      <c r="A95" s="43" t="s">
        <v>62</v>
      </c>
      <c r="B95" s="73"/>
      <c r="C95" s="73"/>
      <c r="D95" s="19"/>
      <c r="E95" s="19"/>
      <c r="F95" s="19"/>
      <c r="G95" s="19"/>
      <c r="H95" s="19"/>
      <c r="I95" s="19"/>
    </row>
    <row r="96" spans="1:9" s="37" customFormat="1" ht="15" hidden="1" customHeight="1" thickBot="1" x14ac:dyDescent="0.3">
      <c r="A96" s="21"/>
      <c r="B96" s="68"/>
      <c r="C96" s="68"/>
      <c r="D96" s="41"/>
      <c r="E96" s="41"/>
      <c r="F96" s="41"/>
      <c r="G96" s="41"/>
      <c r="H96" s="41"/>
      <c r="I96" s="41"/>
    </row>
    <row r="97" spans="1:9" s="37" customFormat="1" ht="15.75" hidden="1" customHeight="1" x14ac:dyDescent="0.25">
      <c r="A97" s="23"/>
      <c r="B97" s="65"/>
      <c r="C97" s="65"/>
      <c r="D97" s="36"/>
      <c r="E97" s="36"/>
      <c r="F97" s="36"/>
      <c r="G97" s="36"/>
      <c r="H97" s="36"/>
      <c r="I97" s="36"/>
    </row>
    <row r="98" spans="1:9" s="37" customFormat="1" ht="31.5" hidden="1" customHeight="1" thickBot="1" x14ac:dyDescent="0.3">
      <c r="A98" s="114" t="s">
        <v>28</v>
      </c>
      <c r="B98" s="111"/>
      <c r="C98" s="111"/>
      <c r="D98" s="112"/>
      <c r="E98" s="112"/>
      <c r="F98" s="112"/>
      <c r="G98" s="112"/>
      <c r="H98" s="112"/>
      <c r="I98" s="113"/>
    </row>
    <row r="99" spans="1:9" s="37" customFormat="1" ht="33.75" hidden="1" customHeight="1" x14ac:dyDescent="0.25">
      <c r="A99" s="107"/>
      <c r="B99" s="108"/>
      <c r="C99" s="108"/>
      <c r="D99" s="109"/>
      <c r="E99" s="109"/>
      <c r="F99" s="109"/>
      <c r="G99" s="109"/>
      <c r="H99" s="109"/>
      <c r="I99" s="110"/>
    </row>
    <row r="100" spans="1:9" s="37" customFormat="1" ht="15" hidden="1" customHeight="1" thickBot="1" x14ac:dyDescent="0.3">
      <c r="A100" s="103"/>
      <c r="B100" s="104"/>
      <c r="C100" s="104"/>
      <c r="D100" s="105"/>
      <c r="E100" s="105"/>
      <c r="F100" s="105"/>
      <c r="G100" s="105"/>
      <c r="H100" s="105"/>
      <c r="I100" s="106"/>
    </row>
    <row r="101" spans="1:9" s="37" customFormat="1" ht="13.5" customHeight="1" thickBot="1" x14ac:dyDescent="0.3">
      <c r="A101" s="38"/>
      <c r="B101" s="76"/>
      <c r="C101" s="76"/>
      <c r="D101" s="39"/>
      <c r="E101" s="39"/>
      <c r="F101" s="39"/>
      <c r="G101" s="39"/>
      <c r="H101" s="39"/>
      <c r="I101" s="39"/>
    </row>
    <row r="102" spans="1:9" s="14" customFormat="1" ht="33.75" hidden="1" customHeight="1" x14ac:dyDescent="0.25">
      <c r="A102" s="42" t="s">
        <v>28</v>
      </c>
      <c r="B102" s="66"/>
      <c r="C102" s="66"/>
      <c r="D102" s="13">
        <f t="shared" ref="D102:I102" si="9">SUM(D103:D105)</f>
        <v>0</v>
      </c>
      <c r="E102" s="13">
        <f t="shared" si="9"/>
        <v>0</v>
      </c>
      <c r="F102" s="13"/>
      <c r="G102" s="13">
        <f t="shared" si="9"/>
        <v>0</v>
      </c>
      <c r="H102" s="13">
        <f t="shared" si="9"/>
        <v>0</v>
      </c>
      <c r="I102" s="13">
        <f t="shared" si="9"/>
        <v>0</v>
      </c>
    </row>
    <row r="103" spans="1:9" s="23" customFormat="1" ht="57" hidden="1" customHeight="1" x14ac:dyDescent="0.25">
      <c r="B103" s="73"/>
      <c r="C103" s="73"/>
      <c r="D103" s="19"/>
      <c r="E103" s="19"/>
      <c r="G103" s="19"/>
      <c r="H103" s="19"/>
      <c r="I103" s="19"/>
    </row>
    <row r="104" spans="1:9" s="23" customFormat="1" ht="60.75" hidden="1" customHeight="1" x14ac:dyDescent="0.25">
      <c r="B104" s="73"/>
      <c r="C104" s="73"/>
      <c r="D104" s="19"/>
      <c r="E104" s="19"/>
      <c r="G104" s="19"/>
      <c r="H104" s="19"/>
      <c r="I104" s="19"/>
    </row>
    <row r="105" spans="1:9" s="18" customFormat="1" ht="12" hidden="1" customHeight="1" thickBot="1" x14ac:dyDescent="0.3">
      <c r="A105" s="44"/>
      <c r="B105" s="77"/>
      <c r="C105" s="77"/>
      <c r="D105" s="45"/>
      <c r="E105" s="45"/>
      <c r="F105" s="45"/>
      <c r="G105" s="45"/>
      <c r="H105" s="45"/>
      <c r="I105" s="45"/>
    </row>
    <row r="106" spans="1:9" s="18" customFormat="1" ht="13.5" hidden="1" thickBot="1" x14ac:dyDescent="0.3">
      <c r="A106" s="46"/>
      <c r="B106" s="78"/>
      <c r="C106" s="78"/>
      <c r="D106" s="17"/>
      <c r="E106" s="17"/>
      <c r="F106" s="17"/>
      <c r="G106" s="17"/>
      <c r="H106" s="17"/>
      <c r="I106" s="17"/>
    </row>
    <row r="107" spans="1:9" s="14" customFormat="1" ht="30.75" customHeight="1" x14ac:dyDescent="0.25">
      <c r="A107" s="42" t="s">
        <v>29</v>
      </c>
      <c r="B107" s="66"/>
      <c r="C107" s="66"/>
      <c r="D107" s="13">
        <f t="shared" ref="D107:I107" si="10">SUM(D108:D113)</f>
        <v>91.5</v>
      </c>
      <c r="E107" s="13">
        <f t="shared" si="10"/>
        <v>0</v>
      </c>
      <c r="F107" s="13">
        <f t="shared" si="10"/>
        <v>91.5</v>
      </c>
      <c r="G107" s="13">
        <f t="shared" si="10"/>
        <v>0</v>
      </c>
      <c r="H107" s="13">
        <f t="shared" si="10"/>
        <v>46414.8</v>
      </c>
      <c r="I107" s="13">
        <f t="shared" si="10"/>
        <v>0</v>
      </c>
    </row>
    <row r="108" spans="1:9" s="23" customFormat="1" ht="56.25" customHeight="1" x14ac:dyDescent="0.25">
      <c r="A108" s="28" t="s">
        <v>15</v>
      </c>
      <c r="B108" s="67">
        <v>904</v>
      </c>
      <c r="C108" s="67" t="s">
        <v>53</v>
      </c>
      <c r="D108" s="29">
        <v>91.5</v>
      </c>
      <c r="E108" s="29"/>
      <c r="F108" s="29">
        <v>91.5</v>
      </c>
      <c r="G108" s="29"/>
      <c r="H108" s="29">
        <v>91.5</v>
      </c>
      <c r="I108" s="29"/>
    </row>
    <row r="109" spans="1:9" s="16" customFormat="1" ht="61.5" hidden="1" customHeight="1" x14ac:dyDescent="0.25">
      <c r="A109" s="43" t="s">
        <v>71</v>
      </c>
      <c r="B109" s="73"/>
      <c r="C109" s="73"/>
      <c r="D109" s="19"/>
      <c r="E109" s="19"/>
      <c r="F109" s="19"/>
      <c r="G109" s="19"/>
      <c r="H109" s="19"/>
      <c r="I109" s="19"/>
    </row>
    <row r="110" spans="1:9" s="16" customFormat="1" ht="63.75" hidden="1" customHeight="1" x14ac:dyDescent="0.25">
      <c r="A110" s="43" t="s">
        <v>72</v>
      </c>
      <c r="B110" s="73"/>
      <c r="C110" s="73"/>
      <c r="D110" s="19"/>
      <c r="E110" s="19"/>
      <c r="F110" s="19"/>
      <c r="G110" s="19"/>
      <c r="H110" s="19"/>
      <c r="I110" s="19"/>
    </row>
    <row r="111" spans="1:9" s="16" customFormat="1" ht="89.25" hidden="1" customHeight="1" x14ac:dyDescent="0.25">
      <c r="A111" s="88" t="s">
        <v>61</v>
      </c>
      <c r="B111" s="73"/>
      <c r="C111" s="73"/>
      <c r="D111" s="19"/>
      <c r="E111" s="19"/>
      <c r="F111" s="19"/>
      <c r="G111" s="19"/>
      <c r="H111" s="19"/>
      <c r="I111" s="19"/>
    </row>
    <row r="112" spans="1:9" s="16" customFormat="1" ht="73.5" customHeight="1" x14ac:dyDescent="0.25">
      <c r="A112" s="88" t="s">
        <v>69</v>
      </c>
      <c r="B112" s="73"/>
      <c r="C112" s="73"/>
      <c r="D112" s="19"/>
      <c r="E112" s="19"/>
      <c r="F112" s="19"/>
      <c r="G112" s="19"/>
      <c r="H112" s="19">
        <v>46323.3</v>
      </c>
      <c r="I112" s="19"/>
    </row>
    <row r="113" spans="1:9" s="16" customFormat="1" ht="13.5" thickBot="1" x14ac:dyDescent="0.3">
      <c r="A113" s="47"/>
      <c r="B113" s="68"/>
      <c r="C113" s="68"/>
      <c r="D113" s="22"/>
      <c r="E113" s="22"/>
      <c r="F113" s="22"/>
      <c r="G113" s="22"/>
      <c r="H113" s="22"/>
      <c r="I113" s="22"/>
    </row>
    <row r="114" spans="1:9" s="16" customFormat="1" x14ac:dyDescent="0.25">
      <c r="A114" s="48"/>
      <c r="B114" s="65"/>
      <c r="C114" s="65"/>
      <c r="D114" s="1"/>
      <c r="E114" s="1"/>
      <c r="F114" s="1"/>
      <c r="G114" s="1"/>
      <c r="H114" s="1"/>
      <c r="I114" s="1"/>
    </row>
    <row r="115" spans="1:9" s="14" customFormat="1" ht="21" hidden="1" customHeight="1" x14ac:dyDescent="0.25">
      <c r="A115" s="42" t="s">
        <v>30</v>
      </c>
      <c r="B115" s="66"/>
      <c r="C115" s="66"/>
      <c r="D115" s="13">
        <f t="shared" ref="D115:I115" si="11">SUM(D116:D117)</f>
        <v>0</v>
      </c>
      <c r="E115" s="13">
        <f t="shared" si="11"/>
        <v>0</v>
      </c>
      <c r="F115" s="13">
        <f t="shared" si="11"/>
        <v>0</v>
      </c>
      <c r="G115" s="13">
        <f t="shared" si="11"/>
        <v>0</v>
      </c>
      <c r="H115" s="13">
        <f t="shared" si="11"/>
        <v>0</v>
      </c>
      <c r="I115" s="13">
        <f t="shared" si="11"/>
        <v>0</v>
      </c>
    </row>
    <row r="116" spans="1:9" s="23" customFormat="1" ht="100.5" hidden="1" customHeight="1" x14ac:dyDescent="0.25">
      <c r="A116" s="31"/>
      <c r="B116" s="73"/>
      <c r="C116" s="73"/>
      <c r="D116" s="19"/>
      <c r="E116" s="19"/>
      <c r="F116" s="19"/>
      <c r="G116" s="19"/>
      <c r="H116" s="19"/>
      <c r="I116" s="19"/>
    </row>
    <row r="117" spans="1:9" s="16" customFormat="1" ht="13.5" hidden="1" thickBot="1" x14ac:dyDescent="0.3">
      <c r="A117" s="47"/>
      <c r="B117" s="68"/>
      <c r="C117" s="68"/>
      <c r="D117" s="22"/>
      <c r="E117" s="22"/>
      <c r="F117" s="22"/>
      <c r="G117" s="22"/>
      <c r="H117" s="22"/>
      <c r="I117" s="22"/>
    </row>
    <row r="118" spans="1:9" s="16" customFormat="1" ht="13.5" hidden="1" thickBot="1" x14ac:dyDescent="0.3">
      <c r="A118" s="48"/>
      <c r="B118" s="65"/>
      <c r="C118" s="65"/>
      <c r="D118" s="1"/>
      <c r="E118" s="1"/>
      <c r="F118" s="1"/>
      <c r="G118" s="1"/>
      <c r="H118" s="1"/>
      <c r="I118" s="1"/>
    </row>
    <row r="119" spans="1:9" s="14" customFormat="1" ht="26.25" hidden="1" customHeight="1" x14ac:dyDescent="0.25">
      <c r="A119" s="42" t="s">
        <v>31</v>
      </c>
      <c r="B119" s="66"/>
      <c r="C119" s="66"/>
      <c r="D119" s="13">
        <f t="shared" ref="D119:I119" si="12">SUM(D120:D124)</f>
        <v>0</v>
      </c>
      <c r="E119" s="13">
        <f t="shared" si="12"/>
        <v>0</v>
      </c>
      <c r="F119" s="13">
        <f t="shared" si="12"/>
        <v>0</v>
      </c>
      <c r="G119" s="13">
        <f t="shared" si="12"/>
        <v>0</v>
      </c>
      <c r="H119" s="13">
        <f t="shared" si="12"/>
        <v>0</v>
      </c>
      <c r="I119" s="13">
        <f t="shared" si="12"/>
        <v>0</v>
      </c>
    </row>
    <row r="120" spans="1:9" s="23" customFormat="1" ht="69" hidden="1" customHeight="1" x14ac:dyDescent="0.25">
      <c r="A120" s="31"/>
      <c r="B120" s="73">
        <v>904</v>
      </c>
      <c r="C120" s="73" t="s">
        <v>59</v>
      </c>
      <c r="D120" s="19"/>
      <c r="E120" s="19"/>
      <c r="F120" s="19"/>
      <c r="G120" s="19"/>
      <c r="H120" s="19"/>
      <c r="I120" s="19"/>
    </row>
    <row r="121" spans="1:9" s="23" customFormat="1" ht="69" hidden="1" customHeight="1" x14ac:dyDescent="0.25">
      <c r="A121" s="93"/>
      <c r="B121" s="94"/>
      <c r="C121" s="94"/>
      <c r="D121" s="95"/>
      <c r="E121" s="95"/>
      <c r="F121" s="95"/>
      <c r="G121" s="95"/>
      <c r="H121" s="93"/>
      <c r="I121" s="95"/>
    </row>
    <row r="122" spans="1:9" s="23" customFormat="1" ht="69" hidden="1" customHeight="1" x14ac:dyDescent="0.25">
      <c r="A122" s="93"/>
      <c r="B122" s="94"/>
      <c r="C122" s="94"/>
      <c r="D122" s="95"/>
      <c r="E122" s="95"/>
      <c r="F122" s="95"/>
      <c r="G122" s="95"/>
      <c r="H122" s="93"/>
      <c r="I122" s="95"/>
    </row>
    <row r="123" spans="1:9" s="23" customFormat="1" ht="69" hidden="1" customHeight="1" x14ac:dyDescent="0.25">
      <c r="A123" s="93"/>
      <c r="B123" s="94"/>
      <c r="C123" s="94"/>
      <c r="D123" s="95"/>
      <c r="E123" s="95"/>
      <c r="F123" s="95"/>
      <c r="G123" s="95"/>
      <c r="H123" s="93"/>
      <c r="I123" s="95"/>
    </row>
    <row r="124" spans="1:9" s="16" customFormat="1" ht="13.5" hidden="1" thickBot="1" x14ac:dyDescent="0.3">
      <c r="A124" s="47"/>
      <c r="B124" s="68"/>
      <c r="C124" s="68"/>
      <c r="D124" s="22"/>
      <c r="E124" s="22"/>
      <c r="F124" s="22"/>
      <c r="G124" s="22"/>
      <c r="H124" s="22"/>
      <c r="I124" s="22"/>
    </row>
    <row r="125" spans="1:9" s="16" customFormat="1" ht="13.5" thickBot="1" x14ac:dyDescent="0.3">
      <c r="A125" s="48"/>
      <c r="B125" s="65"/>
      <c r="C125" s="65"/>
      <c r="D125" s="1"/>
      <c r="E125" s="1"/>
      <c r="F125" s="1"/>
      <c r="G125" s="1"/>
      <c r="H125" s="1"/>
      <c r="I125" s="1"/>
    </row>
    <row r="126" spans="1:9" s="14" customFormat="1" ht="21" customHeight="1" x14ac:dyDescent="0.25">
      <c r="A126" s="42" t="s">
        <v>32</v>
      </c>
      <c r="B126" s="66"/>
      <c r="C126" s="66"/>
      <c r="D126" s="13">
        <f t="shared" ref="D126:I126" si="13">SUM(D127:D130)</f>
        <v>0</v>
      </c>
      <c r="E126" s="13">
        <f t="shared" si="13"/>
        <v>0</v>
      </c>
      <c r="F126" s="13">
        <f t="shared" si="13"/>
        <v>57696.1</v>
      </c>
      <c r="G126" s="13">
        <f t="shared" si="13"/>
        <v>0</v>
      </c>
      <c r="H126" s="13">
        <f t="shared" si="13"/>
        <v>0</v>
      </c>
      <c r="I126" s="13">
        <f t="shared" si="13"/>
        <v>0</v>
      </c>
    </row>
    <row r="127" spans="1:9" s="23" customFormat="1" ht="112.5" hidden="1" customHeight="1" x14ac:dyDescent="0.25">
      <c r="A127" s="27" t="s">
        <v>33</v>
      </c>
      <c r="B127" s="71"/>
      <c r="C127" s="71"/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</row>
    <row r="128" spans="1:9" s="23" customFormat="1" ht="99.75" hidden="1" customHeight="1" x14ac:dyDescent="0.25">
      <c r="A128" s="31" t="s">
        <v>45</v>
      </c>
      <c r="B128" s="73">
        <v>904</v>
      </c>
      <c r="C128" s="73" t="s">
        <v>59</v>
      </c>
      <c r="D128" s="19">
        <f>1634-1634</f>
        <v>0</v>
      </c>
      <c r="E128" s="19"/>
      <c r="F128" s="19"/>
      <c r="G128" s="19"/>
      <c r="H128" s="19"/>
      <c r="I128" s="19"/>
    </row>
    <row r="129" spans="1:9" s="23" customFormat="1" ht="99.75" customHeight="1" x14ac:dyDescent="0.25">
      <c r="A129" s="31" t="s">
        <v>80</v>
      </c>
      <c r="B129" s="73"/>
      <c r="C129" s="73"/>
      <c r="D129" s="19"/>
      <c r="E129" s="19"/>
      <c r="F129" s="19">
        <v>57696.1</v>
      </c>
      <c r="G129" s="19"/>
      <c r="H129" s="19"/>
      <c r="I129" s="19"/>
    </row>
    <row r="130" spans="1:9" s="16" customFormat="1" ht="13.5" thickBot="1" x14ac:dyDescent="0.3">
      <c r="A130" s="47"/>
      <c r="B130" s="68"/>
      <c r="C130" s="68"/>
      <c r="D130" s="22"/>
      <c r="E130" s="22"/>
      <c r="F130" s="22"/>
      <c r="G130" s="22"/>
      <c r="H130" s="22"/>
      <c r="I130" s="22"/>
    </row>
    <row r="131" spans="1:9" s="16" customFormat="1" ht="21.75" hidden="1" customHeight="1" x14ac:dyDescent="0.25">
      <c r="A131" s="48"/>
      <c r="B131" s="65"/>
      <c r="C131" s="65"/>
      <c r="D131" s="1"/>
      <c r="E131" s="1"/>
      <c r="F131" s="1"/>
      <c r="G131" s="1"/>
      <c r="H131" s="1"/>
      <c r="I131" s="1"/>
    </row>
    <row r="132" spans="1:9" s="14" customFormat="1" ht="21" hidden="1" customHeight="1" x14ac:dyDescent="0.25">
      <c r="A132" s="42" t="s">
        <v>34</v>
      </c>
      <c r="B132" s="66"/>
      <c r="C132" s="66"/>
      <c r="D132" s="13">
        <f t="shared" ref="D132:I132" si="14">SUM(D133:D134)</f>
        <v>0</v>
      </c>
      <c r="E132" s="13">
        <f t="shared" si="14"/>
        <v>0</v>
      </c>
      <c r="F132" s="13">
        <f t="shared" si="14"/>
        <v>0</v>
      </c>
      <c r="G132" s="13">
        <f t="shared" si="14"/>
        <v>0</v>
      </c>
      <c r="H132" s="13">
        <f t="shared" si="14"/>
        <v>0</v>
      </c>
      <c r="I132" s="13">
        <f t="shared" si="14"/>
        <v>0</v>
      </c>
    </row>
    <row r="133" spans="1:9" s="23" customFormat="1" ht="13.5" hidden="1" thickBot="1" x14ac:dyDescent="0.3">
      <c r="A133" s="43"/>
      <c r="B133" s="73"/>
      <c r="C133" s="73"/>
      <c r="D133" s="19"/>
      <c r="E133" s="19"/>
      <c r="F133" s="19"/>
      <c r="G133" s="19"/>
      <c r="H133" s="19"/>
      <c r="I133" s="19"/>
    </row>
    <row r="134" spans="1:9" s="18" customFormat="1" ht="13.5" hidden="1" thickBot="1" x14ac:dyDescent="0.3">
      <c r="A134" s="44"/>
      <c r="B134" s="77"/>
      <c r="C134" s="77"/>
      <c r="D134" s="45"/>
      <c r="E134" s="45"/>
      <c r="F134" s="45"/>
      <c r="G134" s="45"/>
      <c r="H134" s="45"/>
      <c r="I134" s="45"/>
    </row>
    <row r="135" spans="1:9" s="18" customFormat="1" ht="13.5" hidden="1" thickBot="1" x14ac:dyDescent="0.3">
      <c r="A135" s="46"/>
      <c r="B135" s="78"/>
      <c r="C135" s="78"/>
      <c r="D135" s="17"/>
      <c r="E135" s="17"/>
      <c r="F135" s="17"/>
      <c r="G135" s="17"/>
      <c r="H135" s="17"/>
      <c r="I135" s="17"/>
    </row>
    <row r="136" spans="1:9" s="14" customFormat="1" ht="21" hidden="1" customHeight="1" x14ac:dyDescent="0.25">
      <c r="A136" s="42" t="s">
        <v>35</v>
      </c>
      <c r="B136" s="66"/>
      <c r="C136" s="66"/>
      <c r="D136" s="13">
        <f t="shared" ref="D136:I136" si="15">SUM(D137:D139)</f>
        <v>0</v>
      </c>
      <c r="E136" s="13">
        <f t="shared" si="15"/>
        <v>0</v>
      </c>
      <c r="F136" s="13">
        <f t="shared" si="15"/>
        <v>0</v>
      </c>
      <c r="G136" s="13">
        <f t="shared" si="15"/>
        <v>0</v>
      </c>
      <c r="H136" s="13">
        <f t="shared" si="15"/>
        <v>0</v>
      </c>
      <c r="I136" s="13">
        <f t="shared" si="15"/>
        <v>0</v>
      </c>
    </row>
    <row r="137" spans="1:9" s="23" customFormat="1" ht="69" hidden="1" customHeight="1" x14ac:dyDescent="0.25">
      <c r="A137" s="31"/>
      <c r="B137" s="73">
        <v>904</v>
      </c>
      <c r="C137" s="73" t="s">
        <v>59</v>
      </c>
      <c r="D137" s="19"/>
      <c r="E137" s="19"/>
      <c r="F137" s="87"/>
      <c r="G137" s="19"/>
      <c r="H137" s="19"/>
      <c r="I137" s="19"/>
    </row>
    <row r="138" spans="1:9" s="23" customFormat="1" ht="69" hidden="1" customHeight="1" x14ac:dyDescent="0.25">
      <c r="A138" s="31"/>
      <c r="B138" s="73"/>
      <c r="C138" s="73"/>
      <c r="D138" s="19"/>
      <c r="E138" s="19"/>
      <c r="F138" s="87"/>
      <c r="G138" s="19"/>
      <c r="H138" s="19"/>
      <c r="I138" s="19"/>
    </row>
    <row r="139" spans="1:9" s="18" customFormat="1" ht="14.25" hidden="1" customHeight="1" thickBot="1" x14ac:dyDescent="0.3">
      <c r="A139" s="44"/>
      <c r="B139" s="77"/>
      <c r="C139" s="77"/>
      <c r="D139" s="45"/>
      <c r="E139" s="45"/>
      <c r="F139" s="45"/>
      <c r="G139" s="45"/>
      <c r="H139" s="45"/>
      <c r="I139" s="45"/>
    </row>
    <row r="140" spans="1:9" s="16" customFormat="1" ht="15.75" hidden="1" customHeight="1" thickBot="1" x14ac:dyDescent="0.3">
      <c r="A140" s="49"/>
      <c r="B140" s="65"/>
      <c r="C140" s="65"/>
      <c r="D140" s="50"/>
      <c r="E140" s="50"/>
      <c r="F140" s="50"/>
      <c r="G140" s="50"/>
      <c r="H140" s="50"/>
      <c r="I140" s="50"/>
    </row>
    <row r="141" spans="1:9" s="14" customFormat="1" ht="21" hidden="1" customHeight="1" x14ac:dyDescent="0.25">
      <c r="A141" s="42" t="s">
        <v>36</v>
      </c>
      <c r="B141" s="66"/>
      <c r="C141" s="66"/>
      <c r="D141" s="13">
        <f t="shared" ref="D141:I141" si="16">SUM(D142:D143)</f>
        <v>0</v>
      </c>
      <c r="E141" s="13">
        <f t="shared" si="16"/>
        <v>0</v>
      </c>
      <c r="F141" s="13">
        <f t="shared" si="16"/>
        <v>0</v>
      </c>
      <c r="G141" s="13">
        <f t="shared" si="16"/>
        <v>0</v>
      </c>
      <c r="H141" s="13">
        <f t="shared" si="16"/>
        <v>0</v>
      </c>
      <c r="I141" s="13">
        <f t="shared" si="16"/>
        <v>0</v>
      </c>
    </row>
    <row r="142" spans="1:9" s="18" customFormat="1" ht="58.5" hidden="1" customHeight="1" x14ac:dyDescent="0.25">
      <c r="A142" s="20"/>
      <c r="B142" s="70"/>
      <c r="C142" s="70"/>
      <c r="D142" s="26"/>
      <c r="E142" s="26"/>
      <c r="F142" s="26"/>
      <c r="G142" s="26"/>
      <c r="H142" s="26"/>
      <c r="I142" s="26"/>
    </row>
    <row r="143" spans="1:9" s="16" customFormat="1" ht="13.5" hidden="1" thickBot="1" x14ac:dyDescent="0.3">
      <c r="A143" s="47"/>
      <c r="B143" s="68"/>
      <c r="C143" s="68"/>
      <c r="D143" s="22"/>
      <c r="E143" s="22"/>
      <c r="F143" s="22"/>
      <c r="G143" s="22"/>
      <c r="H143" s="22"/>
      <c r="I143" s="22"/>
    </row>
    <row r="144" spans="1:9" s="16" customFormat="1" ht="13.5" thickBot="1" x14ac:dyDescent="0.3">
      <c r="A144" s="48"/>
      <c r="B144" s="65"/>
      <c r="C144" s="65"/>
      <c r="D144" s="1"/>
      <c r="E144" s="1"/>
      <c r="F144" s="1"/>
      <c r="G144" s="1"/>
      <c r="H144" s="1"/>
      <c r="I144" s="1"/>
    </row>
    <row r="145" spans="1:9" s="14" customFormat="1" ht="21" customHeight="1" x14ac:dyDescent="0.25">
      <c r="A145" s="42" t="s">
        <v>37</v>
      </c>
      <c r="B145" s="66"/>
      <c r="C145" s="66"/>
      <c r="D145" s="13">
        <f t="shared" ref="D145:I145" si="17">SUM(D146:D148)</f>
        <v>0</v>
      </c>
      <c r="E145" s="13">
        <f t="shared" si="17"/>
        <v>0</v>
      </c>
      <c r="F145" s="13">
        <f t="shared" si="17"/>
        <v>29951.4</v>
      </c>
      <c r="G145" s="13">
        <f t="shared" si="17"/>
        <v>0</v>
      </c>
      <c r="H145" s="13">
        <f t="shared" si="17"/>
        <v>0</v>
      </c>
      <c r="I145" s="13">
        <f t="shared" si="17"/>
        <v>0</v>
      </c>
    </row>
    <row r="146" spans="1:9" s="23" customFormat="1" ht="148.5" hidden="1" customHeight="1" x14ac:dyDescent="0.25">
      <c r="A146" s="43" t="s">
        <v>38</v>
      </c>
      <c r="B146" s="73"/>
      <c r="C146" s="73"/>
      <c r="D146" s="19">
        <v>0</v>
      </c>
      <c r="E146" s="19"/>
      <c r="F146" s="19"/>
      <c r="G146" s="19"/>
      <c r="H146" s="19"/>
      <c r="I146" s="19"/>
    </row>
    <row r="147" spans="1:9" s="23" customFormat="1" ht="78" customHeight="1" x14ac:dyDescent="0.25">
      <c r="A147" s="43" t="s">
        <v>66</v>
      </c>
      <c r="B147" s="73">
        <v>904</v>
      </c>
      <c r="C147" s="73" t="s">
        <v>59</v>
      </c>
      <c r="D147" s="19"/>
      <c r="E147" s="19"/>
      <c r="F147" s="19">
        <v>29951.4</v>
      </c>
      <c r="G147" s="19"/>
      <c r="H147" s="19"/>
      <c r="I147" s="19"/>
    </row>
    <row r="148" spans="1:9" s="18" customFormat="1" ht="13.5" thickBot="1" x14ac:dyDescent="0.3">
      <c r="A148" s="21"/>
      <c r="B148" s="68"/>
      <c r="C148" s="68"/>
      <c r="D148" s="45"/>
      <c r="E148" s="45"/>
      <c r="F148" s="45"/>
      <c r="G148" s="45"/>
      <c r="H148" s="45"/>
      <c r="I148" s="45"/>
    </row>
    <row r="149" spans="1:9" s="16" customFormat="1" ht="15.75" customHeight="1" thickBot="1" x14ac:dyDescent="0.3">
      <c r="A149" s="49"/>
      <c r="B149" s="65"/>
      <c r="C149" s="65"/>
      <c r="D149" s="50"/>
      <c r="E149" s="50"/>
      <c r="F149" s="50"/>
      <c r="G149" s="50"/>
      <c r="H149" s="50"/>
      <c r="I149" s="50"/>
    </row>
    <row r="150" spans="1:9" s="14" customFormat="1" ht="21" customHeight="1" thickBot="1" x14ac:dyDescent="0.3">
      <c r="A150" s="42" t="s">
        <v>39</v>
      </c>
      <c r="B150" s="66"/>
      <c r="C150" s="66"/>
      <c r="D150" s="13">
        <f t="shared" ref="D150:I150" si="18">SUM(D151:D154)</f>
        <v>116984.7</v>
      </c>
      <c r="E150" s="13">
        <f t="shared" si="18"/>
        <v>0</v>
      </c>
      <c r="F150" s="13">
        <f t="shared" si="18"/>
        <v>1499.2</v>
      </c>
      <c r="G150" s="13">
        <f t="shared" si="18"/>
        <v>0</v>
      </c>
      <c r="H150" s="13">
        <f t="shared" si="18"/>
        <v>1499.2</v>
      </c>
      <c r="I150" s="13">
        <f t="shared" si="18"/>
        <v>0</v>
      </c>
    </row>
    <row r="151" spans="1:9" s="23" customFormat="1" ht="120" hidden="1" customHeight="1" thickBot="1" x14ac:dyDescent="0.3">
      <c r="A151" s="60" t="s">
        <v>40</v>
      </c>
      <c r="B151" s="79"/>
      <c r="C151" s="79"/>
      <c r="D151" s="19">
        <v>0</v>
      </c>
      <c r="E151" s="19"/>
      <c r="F151" s="19"/>
      <c r="G151" s="19"/>
      <c r="H151" s="19"/>
      <c r="I151" s="19"/>
    </row>
    <row r="152" spans="1:9" s="23" customFormat="1" ht="108" customHeight="1" thickBot="1" x14ac:dyDescent="0.3">
      <c r="A152" s="51" t="s">
        <v>63</v>
      </c>
      <c r="B152" s="79"/>
      <c r="C152" s="79"/>
      <c r="D152" s="87">
        <v>1499.2</v>
      </c>
      <c r="E152" s="19"/>
      <c r="F152" s="19">
        <v>1499.2</v>
      </c>
      <c r="G152" s="19"/>
      <c r="H152" s="19">
        <v>1499.2</v>
      </c>
      <c r="I152" s="19"/>
    </row>
    <row r="153" spans="1:9" s="23" customFormat="1" ht="108" customHeight="1" thickBot="1" x14ac:dyDescent="0.3">
      <c r="A153" s="60" t="s">
        <v>80</v>
      </c>
      <c r="B153" s="79"/>
      <c r="C153" s="79"/>
      <c r="D153" s="87">
        <v>115485.5</v>
      </c>
      <c r="E153" s="19"/>
      <c r="F153" s="19"/>
      <c r="G153" s="19"/>
      <c r="H153" s="19"/>
      <c r="I153" s="19"/>
    </row>
    <row r="154" spans="1:9" s="16" customFormat="1" ht="13.5" thickBot="1" x14ac:dyDescent="0.3">
      <c r="A154" s="52"/>
      <c r="B154" s="80"/>
      <c r="C154" s="80"/>
      <c r="D154" s="22"/>
      <c r="E154" s="22"/>
      <c r="F154" s="22"/>
      <c r="G154" s="22"/>
      <c r="H154" s="22"/>
      <c r="I154" s="22"/>
    </row>
    <row r="155" spans="1:9" s="16" customFormat="1" ht="13.5" thickBot="1" x14ac:dyDescent="0.3">
      <c r="A155" s="23"/>
      <c r="B155" s="65"/>
      <c r="C155" s="65"/>
      <c r="D155" s="1"/>
      <c r="E155" s="1"/>
      <c r="F155" s="1"/>
      <c r="G155" s="1"/>
      <c r="H155" s="1"/>
      <c r="I155" s="1"/>
    </row>
    <row r="156" spans="1:9" s="37" customFormat="1" ht="21" customHeight="1" thickBot="1" x14ac:dyDescent="0.3">
      <c r="A156" s="34" t="s">
        <v>41</v>
      </c>
      <c r="B156" s="75"/>
      <c r="C156" s="75"/>
      <c r="D156" s="35">
        <f>D85+D92+D102+D107+D119+D126+D132+D136+D141+D145+D150+D115</f>
        <v>147027.6</v>
      </c>
      <c r="E156" s="35">
        <f>E85+E92+E102+E107+E119+E126+E132+E136+E141+E145+E150</f>
        <v>0</v>
      </c>
      <c r="F156" s="35">
        <f>F85+F92+F102+F107+F119+F126+F132+F136+F141+F145+F150+F115</f>
        <v>89238.2</v>
      </c>
      <c r="G156" s="35">
        <f>G85+G92+G102+G107+G119+G126+G132+G136+G141+G145+G150</f>
        <v>0</v>
      </c>
      <c r="H156" s="35">
        <f>H85+H92+H102+H107+H119+H126+H132+H136+H141+H145+H150+H115</f>
        <v>47914</v>
      </c>
      <c r="I156" s="35">
        <f>I85+I92+I102+I107+I119+I126+I132+I136+I141+I145+I150</f>
        <v>0</v>
      </c>
    </row>
    <row r="157" spans="1:9" s="16" customFormat="1" ht="13.5" thickBot="1" x14ac:dyDescent="0.3">
      <c r="A157" s="23"/>
      <c r="B157" s="65"/>
      <c r="C157" s="65"/>
      <c r="D157" s="1"/>
      <c r="E157" s="1"/>
      <c r="F157" s="1"/>
      <c r="G157" s="1"/>
      <c r="H157" s="1"/>
      <c r="I157" s="1"/>
    </row>
    <row r="158" spans="1:9" s="55" customFormat="1" ht="21" customHeight="1" thickBot="1" x14ac:dyDescent="0.3">
      <c r="A158" s="53" t="s">
        <v>42</v>
      </c>
      <c r="B158" s="81"/>
      <c r="C158" s="81"/>
      <c r="D158" s="54">
        <f t="shared" ref="D158:I158" si="19">D83+D156</f>
        <v>273050.5</v>
      </c>
      <c r="E158" s="54">
        <f t="shared" si="19"/>
        <v>3588.7</v>
      </c>
      <c r="F158" s="54">
        <f t="shared" si="19"/>
        <v>190252.40000000002</v>
      </c>
      <c r="G158" s="54">
        <f t="shared" si="19"/>
        <v>2158.5</v>
      </c>
      <c r="H158" s="54">
        <f t="shared" si="19"/>
        <v>253018.40000000002</v>
      </c>
      <c r="I158" s="54">
        <f t="shared" si="19"/>
        <v>3339.0999999999995</v>
      </c>
    </row>
    <row r="159" spans="1:9" s="56" customFormat="1" x14ac:dyDescent="0.25">
      <c r="B159" s="64"/>
      <c r="C159" s="64"/>
      <c r="D159" s="1"/>
      <c r="E159" s="1"/>
      <c r="F159" s="1"/>
      <c r="G159" s="1"/>
      <c r="H159" s="1"/>
      <c r="I159" s="1"/>
    </row>
    <row r="160" spans="1:9" s="56" customFormat="1" x14ac:dyDescent="0.25">
      <c r="B160" s="64"/>
      <c r="C160" s="64"/>
      <c r="D160" s="1"/>
      <c r="E160" s="1"/>
      <c r="F160" s="1"/>
      <c r="G160" s="1"/>
      <c r="H160" s="1"/>
      <c r="I160" s="1"/>
    </row>
    <row r="161" spans="1:9" s="56" customFormat="1" x14ac:dyDescent="0.25">
      <c r="B161" s="64"/>
      <c r="C161" s="64"/>
      <c r="D161" s="1"/>
      <c r="E161" s="1"/>
      <c r="F161" s="1"/>
      <c r="G161" s="1"/>
      <c r="H161" s="1"/>
      <c r="I161" s="1"/>
    </row>
    <row r="162" spans="1:9" s="59" customFormat="1" ht="33" customHeight="1" x14ac:dyDescent="0.25">
      <c r="A162" s="57" t="s">
        <v>43</v>
      </c>
      <c r="B162" s="82"/>
      <c r="C162" s="82"/>
      <c r="D162" s="58"/>
      <c r="E162" s="219" t="s">
        <v>44</v>
      </c>
      <c r="F162" s="219"/>
      <c r="G162" s="219"/>
      <c r="H162" s="219"/>
      <c r="I162" s="219"/>
    </row>
    <row r="163" spans="1:9" s="83" customFormat="1" x14ac:dyDescent="0.25"/>
    <row r="164" spans="1:9" s="83" customFormat="1" x14ac:dyDescent="0.25"/>
    <row r="165" spans="1:9" s="83" customFormat="1" x14ac:dyDescent="0.25"/>
    <row r="166" spans="1:9" s="83" customFormat="1" hidden="1" x14ac:dyDescent="0.25">
      <c r="B166" s="84">
        <v>902</v>
      </c>
      <c r="C166" s="83" t="s">
        <v>48</v>
      </c>
      <c r="D166" s="83">
        <f t="shared" ref="D166:I166" si="20">D15</f>
        <v>2991.7</v>
      </c>
      <c r="E166" s="83">
        <f t="shared" si="20"/>
        <v>242.6</v>
      </c>
      <c r="F166" s="83">
        <f t="shared" si="20"/>
        <v>2922.4</v>
      </c>
      <c r="G166" s="83">
        <f t="shared" si="20"/>
        <v>237</v>
      </c>
      <c r="H166" s="83">
        <f t="shared" si="20"/>
        <v>2093.3000000000002</v>
      </c>
      <c r="I166" s="83">
        <f t="shared" si="20"/>
        <v>169.7</v>
      </c>
    </row>
    <row r="167" spans="1:9" s="83" customFormat="1" hidden="1" x14ac:dyDescent="0.25">
      <c r="B167" s="84"/>
    </row>
    <row r="168" spans="1:9" s="83" customFormat="1" hidden="1" x14ac:dyDescent="0.25">
      <c r="B168" s="84">
        <v>904</v>
      </c>
      <c r="C168" s="83" t="s">
        <v>53</v>
      </c>
      <c r="D168" s="83">
        <f t="shared" ref="D168:I168" si="21">D108</f>
        <v>91.5</v>
      </c>
      <c r="E168" s="83">
        <f t="shared" si="21"/>
        <v>0</v>
      </c>
      <c r="F168" s="83">
        <f t="shared" si="21"/>
        <v>91.5</v>
      </c>
      <c r="G168" s="83">
        <f t="shared" si="21"/>
        <v>0</v>
      </c>
      <c r="H168" s="83">
        <f t="shared" si="21"/>
        <v>91.5</v>
      </c>
      <c r="I168" s="83">
        <f t="shared" si="21"/>
        <v>0</v>
      </c>
    </row>
    <row r="169" spans="1:9" s="83" customFormat="1" hidden="1" x14ac:dyDescent="0.25">
      <c r="B169" s="84">
        <v>904</v>
      </c>
      <c r="C169" s="83" t="s">
        <v>59</v>
      </c>
      <c r="D169" s="83">
        <f t="shared" ref="D169:I169" si="22">D147+D137+D128+D120</f>
        <v>0</v>
      </c>
      <c r="E169" s="83">
        <f t="shared" si="22"/>
        <v>0</v>
      </c>
      <c r="F169" s="83">
        <f t="shared" si="22"/>
        <v>29951.4</v>
      </c>
      <c r="G169" s="83">
        <f t="shared" si="22"/>
        <v>0</v>
      </c>
      <c r="H169" s="83">
        <f t="shared" si="22"/>
        <v>0</v>
      </c>
      <c r="I169" s="83">
        <f t="shared" si="22"/>
        <v>0</v>
      </c>
    </row>
    <row r="170" spans="1:9" s="83" customFormat="1" hidden="1" x14ac:dyDescent="0.25">
      <c r="B170" s="84">
        <v>904</v>
      </c>
      <c r="C170" s="83" t="s">
        <v>55</v>
      </c>
      <c r="D170" s="83" t="e">
        <f>D86+#REF!</f>
        <v>#REF!</v>
      </c>
      <c r="E170" s="83" t="e">
        <f>E86+#REF!</f>
        <v>#REF!</v>
      </c>
      <c r="F170" s="83" t="e">
        <f>F86+#REF!</f>
        <v>#REF!</v>
      </c>
      <c r="G170" s="83" t="e">
        <f>G86+#REF!</f>
        <v>#REF!</v>
      </c>
      <c r="H170" s="83" t="e">
        <f>H86+#REF!</f>
        <v>#REF!</v>
      </c>
      <c r="I170" s="83" t="e">
        <f>I86+#REF!</f>
        <v>#REF!</v>
      </c>
    </row>
    <row r="171" spans="1:9" s="83" customFormat="1" hidden="1" x14ac:dyDescent="0.25">
      <c r="B171" s="84"/>
    </row>
    <row r="172" spans="1:9" s="83" customFormat="1" hidden="1" x14ac:dyDescent="0.25">
      <c r="B172" s="84">
        <v>906</v>
      </c>
      <c r="C172" s="83" t="s">
        <v>56</v>
      </c>
      <c r="D172" s="83" t="e">
        <f>#REF!</f>
        <v>#REF!</v>
      </c>
      <c r="E172" s="83" t="e">
        <f>#REF!</f>
        <v>#REF!</v>
      </c>
      <c r="F172" s="83" t="e">
        <f>#REF!</f>
        <v>#REF!</v>
      </c>
      <c r="G172" s="83" t="e">
        <f>#REF!</f>
        <v>#REF!</v>
      </c>
      <c r="H172" s="83" t="e">
        <f>#REF!</f>
        <v>#REF!</v>
      </c>
      <c r="I172" s="83" t="e">
        <f>#REF!</f>
        <v>#REF!</v>
      </c>
    </row>
    <row r="173" spans="1:9" s="83" customFormat="1" hidden="1" x14ac:dyDescent="0.25">
      <c r="B173" s="84">
        <v>906</v>
      </c>
      <c r="C173" s="83" t="s">
        <v>49</v>
      </c>
      <c r="D173" s="83">
        <f t="shared" ref="D173:I173" si="23">D66</f>
        <v>481.6</v>
      </c>
      <c r="E173" s="83">
        <f t="shared" si="23"/>
        <v>39.1</v>
      </c>
      <c r="F173" s="83">
        <f t="shared" si="23"/>
        <v>481.6</v>
      </c>
      <c r="G173" s="83">
        <f t="shared" si="23"/>
        <v>39.1</v>
      </c>
      <c r="H173" s="83">
        <f t="shared" si="23"/>
        <v>481.6</v>
      </c>
      <c r="I173" s="83">
        <f t="shared" si="23"/>
        <v>39.1</v>
      </c>
    </row>
    <row r="174" spans="1:9" s="83" customFormat="1" hidden="1" x14ac:dyDescent="0.25">
      <c r="B174" s="84">
        <v>906</v>
      </c>
      <c r="C174" s="83" t="s">
        <v>55</v>
      </c>
      <c r="D174" s="83" t="e">
        <f>D64+#REF!+D68+D69</f>
        <v>#REF!</v>
      </c>
      <c r="E174" s="83" t="e">
        <f>E64+#REF!+E68+E69</f>
        <v>#REF!</v>
      </c>
      <c r="F174" s="83" t="e">
        <f>F64+#REF!+F68+F69</f>
        <v>#REF!</v>
      </c>
      <c r="G174" s="83" t="e">
        <f>G64+#REF!+G68+G69</f>
        <v>#REF!</v>
      </c>
      <c r="H174" s="83" t="e">
        <f>H64+#REF!+H68+H69</f>
        <v>#REF!</v>
      </c>
      <c r="I174" s="83" t="e">
        <f>I64+#REF!+I68+I69</f>
        <v>#REF!</v>
      </c>
    </row>
    <row r="175" spans="1:9" s="83" customFormat="1" hidden="1" x14ac:dyDescent="0.25">
      <c r="B175" s="84"/>
    </row>
    <row r="176" spans="1:9" s="83" customFormat="1" hidden="1" x14ac:dyDescent="0.25">
      <c r="B176" s="84">
        <v>907</v>
      </c>
      <c r="C176" s="83" t="s">
        <v>50</v>
      </c>
      <c r="D176" s="83" t="e">
        <f>#REF!+#REF!+D21</f>
        <v>#REF!</v>
      </c>
      <c r="E176" s="83" t="e">
        <f>#REF!+#REF!+E21</f>
        <v>#REF!</v>
      </c>
      <c r="F176" s="83" t="e">
        <f>#REF!+#REF!+F21</f>
        <v>#REF!</v>
      </c>
      <c r="G176" s="83" t="e">
        <f>#REF!+#REF!+G21</f>
        <v>#REF!</v>
      </c>
      <c r="H176" s="83" t="e">
        <f>#REF!+#REF!+H21</f>
        <v>#REF!</v>
      </c>
      <c r="I176" s="83" t="e">
        <f>#REF!+#REF!+I21</f>
        <v>#REF!</v>
      </c>
    </row>
    <row r="177" spans="2:9" s="83" customFormat="1" hidden="1" x14ac:dyDescent="0.25">
      <c r="B177" s="84">
        <v>907</v>
      </c>
      <c r="C177" s="83" t="s">
        <v>49</v>
      </c>
      <c r="D177" s="83">
        <f t="shared" ref="D177:I177" si="24">D20</f>
        <v>3098.6</v>
      </c>
      <c r="E177" s="83">
        <f t="shared" si="24"/>
        <v>251.3</v>
      </c>
      <c r="F177" s="83">
        <f t="shared" si="24"/>
        <v>3222.5</v>
      </c>
      <c r="G177" s="83">
        <f t="shared" si="24"/>
        <v>261.3</v>
      </c>
      <c r="H177" s="83">
        <f t="shared" si="24"/>
        <v>3351.4</v>
      </c>
      <c r="I177" s="83">
        <f t="shared" si="24"/>
        <v>271.8</v>
      </c>
    </row>
    <row r="178" spans="2:9" s="83" customFormat="1" hidden="1" x14ac:dyDescent="0.25">
      <c r="B178" s="84"/>
    </row>
    <row r="179" spans="2:9" s="83" customFormat="1" hidden="1" x14ac:dyDescent="0.25">
      <c r="B179" s="84">
        <v>913</v>
      </c>
      <c r="C179" s="83" t="s">
        <v>57</v>
      </c>
      <c r="D179" s="83">
        <f t="shared" ref="D179:I180" si="25">D79</f>
        <v>450.4</v>
      </c>
      <c r="E179" s="83">
        <f t="shared" si="25"/>
        <v>36.5</v>
      </c>
      <c r="F179" s="83">
        <f t="shared" si="25"/>
        <v>449.5</v>
      </c>
      <c r="G179" s="83">
        <f t="shared" si="25"/>
        <v>36.4</v>
      </c>
      <c r="H179" s="83">
        <f t="shared" si="25"/>
        <v>449.5</v>
      </c>
      <c r="I179" s="83">
        <f t="shared" si="25"/>
        <v>36.4</v>
      </c>
    </row>
    <row r="180" spans="2:9" s="83" customFormat="1" hidden="1" x14ac:dyDescent="0.25">
      <c r="B180" s="84">
        <v>913</v>
      </c>
      <c r="C180" s="83" t="s">
        <v>58</v>
      </c>
      <c r="D180" s="83">
        <f t="shared" si="25"/>
        <v>0</v>
      </c>
      <c r="E180" s="83">
        <f t="shared" si="25"/>
        <v>0</v>
      </c>
      <c r="F180" s="83">
        <f t="shared" si="25"/>
        <v>0</v>
      </c>
      <c r="G180" s="83">
        <f t="shared" si="25"/>
        <v>0</v>
      </c>
      <c r="H180" s="83">
        <f t="shared" si="25"/>
        <v>0</v>
      </c>
      <c r="I180" s="83">
        <f t="shared" si="25"/>
        <v>0</v>
      </c>
    </row>
    <row r="181" spans="2:9" s="83" customFormat="1" hidden="1" x14ac:dyDescent="0.25">
      <c r="B181" s="84"/>
    </row>
    <row r="182" spans="2:9" s="83" customFormat="1" hidden="1" x14ac:dyDescent="0.25">
      <c r="B182" s="84">
        <v>914</v>
      </c>
      <c r="C182" s="83" t="s">
        <v>51</v>
      </c>
      <c r="D182" s="83">
        <f t="shared" ref="D182:I182" si="26">D26+D27</f>
        <v>290.5</v>
      </c>
      <c r="E182" s="83">
        <f t="shared" si="26"/>
        <v>23.6</v>
      </c>
      <c r="F182" s="83">
        <f t="shared" si="26"/>
        <v>305.89999999999998</v>
      </c>
      <c r="G182" s="83">
        <f t="shared" si="26"/>
        <v>24.9</v>
      </c>
      <c r="H182" s="83">
        <f t="shared" si="26"/>
        <v>317.70000000000005</v>
      </c>
      <c r="I182" s="83">
        <f t="shared" si="26"/>
        <v>25.8</v>
      </c>
    </row>
    <row r="183" spans="2:9" s="83" customFormat="1" hidden="1" x14ac:dyDescent="0.25">
      <c r="B183" s="84">
        <v>914</v>
      </c>
      <c r="C183" s="83" t="s">
        <v>54</v>
      </c>
      <c r="D183" s="83" t="e">
        <f>#REF!+#REF!+#REF!</f>
        <v>#REF!</v>
      </c>
      <c r="E183" s="83" t="e">
        <f>#REF!+#REF!+#REF!</f>
        <v>#REF!</v>
      </c>
      <c r="F183" s="83" t="e">
        <f>#REF!+#REF!+#REF!</f>
        <v>#REF!</v>
      </c>
      <c r="G183" s="83" t="e">
        <f>#REF!+#REF!+#REF!</f>
        <v>#REF!</v>
      </c>
      <c r="H183" s="83" t="e">
        <f>#REF!+#REF!+#REF!</f>
        <v>#REF!</v>
      </c>
      <c r="I183" s="83" t="e">
        <f>#REF!+#REF!+#REF!</f>
        <v>#REF!</v>
      </c>
    </row>
    <row r="184" spans="2:9" s="83" customFormat="1" hidden="1" x14ac:dyDescent="0.25">
      <c r="B184" s="84">
        <v>914</v>
      </c>
      <c r="C184" s="83" t="s">
        <v>53</v>
      </c>
      <c r="D184" s="83" t="e">
        <f>D29+#REF!</f>
        <v>#REF!</v>
      </c>
      <c r="E184" s="83" t="e">
        <f>E29+#REF!</f>
        <v>#REF!</v>
      </c>
      <c r="F184" s="83" t="e">
        <f>F29+#REF!</f>
        <v>#REF!</v>
      </c>
      <c r="G184" s="83" t="e">
        <f>G29+#REF!</f>
        <v>#REF!</v>
      </c>
      <c r="H184" s="83" t="e">
        <f>H29+#REF!</f>
        <v>#REF!</v>
      </c>
      <c r="I184" s="83" t="e">
        <f>I29+#REF!</f>
        <v>#REF!</v>
      </c>
    </row>
    <row r="185" spans="2:9" s="83" customFormat="1" hidden="1" x14ac:dyDescent="0.25">
      <c r="B185" s="84">
        <v>914</v>
      </c>
      <c r="C185" s="83" t="s">
        <v>52</v>
      </c>
      <c r="D185" s="83" t="e">
        <f>D28+#REF!+D30</f>
        <v>#REF!</v>
      </c>
      <c r="E185" s="83" t="e">
        <f>E28+#REF!+E30</f>
        <v>#REF!</v>
      </c>
      <c r="F185" s="83" t="e">
        <f>F28+#REF!+F30</f>
        <v>#REF!</v>
      </c>
      <c r="G185" s="83" t="e">
        <f>G28+#REF!+G30</f>
        <v>#REF!</v>
      </c>
      <c r="H185" s="83" t="e">
        <f>H28+#REF!+H30</f>
        <v>#REF!</v>
      </c>
      <c r="I185" s="83" t="e">
        <f>I28+#REF!+I30</f>
        <v>#REF!</v>
      </c>
    </row>
    <row r="186" spans="2:9" s="83" customFormat="1" hidden="1" x14ac:dyDescent="0.25">
      <c r="B186" s="84"/>
    </row>
    <row r="187" spans="2:9" s="83" customFormat="1" hidden="1" x14ac:dyDescent="0.25">
      <c r="B187" s="84"/>
      <c r="D187" s="83" t="e">
        <f t="shared" ref="D187:I187" si="27">SUM(D166:D185)</f>
        <v>#REF!</v>
      </c>
      <c r="E187" s="83" t="e">
        <f t="shared" si="27"/>
        <v>#REF!</v>
      </c>
      <c r="F187" s="83" t="e">
        <f t="shared" si="27"/>
        <v>#REF!</v>
      </c>
      <c r="G187" s="83" t="e">
        <f t="shared" si="27"/>
        <v>#REF!</v>
      </c>
      <c r="H187" s="83" t="e">
        <f t="shared" si="27"/>
        <v>#REF!</v>
      </c>
      <c r="I187" s="83" t="e">
        <f t="shared" si="27"/>
        <v>#REF!</v>
      </c>
    </row>
    <row r="188" spans="2:9" s="83" customFormat="1" hidden="1" x14ac:dyDescent="0.25">
      <c r="D188" s="83" t="e">
        <f t="shared" ref="D188:I188" si="28">D158-D187</f>
        <v>#REF!</v>
      </c>
      <c r="E188" s="83" t="e">
        <f t="shared" si="28"/>
        <v>#REF!</v>
      </c>
      <c r="F188" s="83" t="e">
        <f t="shared" si="28"/>
        <v>#REF!</v>
      </c>
      <c r="G188" s="83" t="e">
        <f t="shared" si="28"/>
        <v>#REF!</v>
      </c>
      <c r="H188" s="83" t="e">
        <f t="shared" si="28"/>
        <v>#REF!</v>
      </c>
      <c r="I188" s="83" t="e">
        <f t="shared" si="28"/>
        <v>#REF!</v>
      </c>
    </row>
    <row r="189" spans="2:9" s="83" customFormat="1" hidden="1" x14ac:dyDescent="0.25"/>
    <row r="190" spans="2:9" s="83" customFormat="1" hidden="1" x14ac:dyDescent="0.25"/>
    <row r="191" spans="2:9" s="83" customFormat="1" hidden="1" x14ac:dyDescent="0.25"/>
    <row r="192" spans="2:9" s="83" customFormat="1" x14ac:dyDescent="0.25"/>
    <row r="193" s="83" customFormat="1" x14ac:dyDescent="0.25"/>
    <row r="194" s="83" customFormat="1" x14ac:dyDescent="0.25"/>
    <row r="195" s="83" customFormat="1" x14ac:dyDescent="0.25"/>
    <row r="196" s="83" customFormat="1" x14ac:dyDescent="0.25"/>
    <row r="197" s="83" customFormat="1" x14ac:dyDescent="0.25"/>
    <row r="198" s="83" customFormat="1" x14ac:dyDescent="0.25"/>
    <row r="199" s="83" customFormat="1" x14ac:dyDescent="0.25"/>
    <row r="200" s="83" customFormat="1" x14ac:dyDescent="0.25"/>
    <row r="201" s="83" customFormat="1" x14ac:dyDescent="0.25"/>
    <row r="202" s="83" customFormat="1" x14ac:dyDescent="0.25"/>
    <row r="203" s="83" customFormat="1" x14ac:dyDescent="0.25"/>
    <row r="204" s="83" customFormat="1" x14ac:dyDescent="0.25"/>
    <row r="205" s="83" customFormat="1" x14ac:dyDescent="0.25"/>
    <row r="206" s="83" customFormat="1" x14ac:dyDescent="0.25"/>
    <row r="207" s="83" customFormat="1" x14ac:dyDescent="0.25"/>
    <row r="208" s="83" customFormat="1" x14ac:dyDescent="0.25"/>
    <row r="209" s="83" customFormat="1" x14ac:dyDescent="0.25"/>
    <row r="210" s="83" customFormat="1" x14ac:dyDescent="0.25"/>
    <row r="211" s="83" customFormat="1" x14ac:dyDescent="0.25"/>
    <row r="212" s="83" customFormat="1" x14ac:dyDescent="0.25"/>
    <row r="213" s="83" customFormat="1" x14ac:dyDescent="0.25"/>
    <row r="214" s="83" customFormat="1" x14ac:dyDescent="0.25"/>
    <row r="215" s="83" customFormat="1" x14ac:dyDescent="0.25"/>
    <row r="216" s="83" customFormat="1" x14ac:dyDescent="0.25"/>
    <row r="217" s="83" customFormat="1" x14ac:dyDescent="0.25"/>
    <row r="218" s="83" customFormat="1" x14ac:dyDescent="0.25"/>
    <row r="219" s="83" customFormat="1" x14ac:dyDescent="0.25"/>
    <row r="220" s="83" customFormat="1" x14ac:dyDescent="0.25"/>
    <row r="221" s="83" customFormat="1" x14ac:dyDescent="0.25"/>
    <row r="222" s="83" customFormat="1" x14ac:dyDescent="0.25"/>
    <row r="223" s="83" customFormat="1" x14ac:dyDescent="0.25"/>
    <row r="224" s="83" customFormat="1" x14ac:dyDescent="0.25"/>
    <row r="225" s="83" customFormat="1" x14ac:dyDescent="0.25"/>
    <row r="226" s="83" customFormat="1" x14ac:dyDescent="0.25"/>
    <row r="227" s="83" customFormat="1" x14ac:dyDescent="0.25"/>
    <row r="228" s="83" customFormat="1" x14ac:dyDescent="0.25"/>
    <row r="229" s="83" customFormat="1" x14ac:dyDescent="0.25"/>
    <row r="230" s="83" customFormat="1" x14ac:dyDescent="0.25"/>
    <row r="231" s="83" customFormat="1" x14ac:dyDescent="0.25"/>
    <row r="232" s="83" customFormat="1" x14ac:dyDescent="0.25"/>
    <row r="233" s="83" customFormat="1" x14ac:dyDescent="0.25"/>
    <row r="234" s="83" customFormat="1" x14ac:dyDescent="0.25"/>
    <row r="235" s="83" customFormat="1" x14ac:dyDescent="0.25"/>
    <row r="236" s="83" customFormat="1" x14ac:dyDescent="0.25"/>
    <row r="237" s="83" customFormat="1" x14ac:dyDescent="0.25"/>
    <row r="238" s="83" customFormat="1" x14ac:dyDescent="0.25"/>
    <row r="239" s="83" customFormat="1" x14ac:dyDescent="0.25"/>
    <row r="240" s="83" customFormat="1" x14ac:dyDescent="0.25"/>
    <row r="241" s="83" customFormat="1" x14ac:dyDescent="0.25"/>
    <row r="242" s="83" customFormat="1" x14ac:dyDescent="0.25"/>
    <row r="243" s="83" customFormat="1" x14ac:dyDescent="0.25"/>
    <row r="244" s="83" customFormat="1" x14ac:dyDescent="0.25"/>
    <row r="245" s="83" customFormat="1" x14ac:dyDescent="0.25"/>
    <row r="246" s="83" customFormat="1" x14ac:dyDescent="0.25"/>
    <row r="247" s="83" customFormat="1" x14ac:dyDescent="0.25"/>
    <row r="248" s="83" customFormat="1" x14ac:dyDescent="0.25"/>
    <row r="249" s="83" customFormat="1" x14ac:dyDescent="0.25"/>
    <row r="250" s="83" customFormat="1" x14ac:dyDescent="0.25"/>
    <row r="251" s="83" customFormat="1" x14ac:dyDescent="0.25"/>
    <row r="252" s="83" customFormat="1" x14ac:dyDescent="0.25"/>
    <row r="253" s="83" customFormat="1" x14ac:dyDescent="0.25"/>
    <row r="254" s="83" customFormat="1" x14ac:dyDescent="0.25"/>
    <row r="255" s="83" customFormat="1" x14ac:dyDescent="0.25"/>
    <row r="256" s="83" customFormat="1" x14ac:dyDescent="0.25"/>
    <row r="257" s="83" customFormat="1" x14ac:dyDescent="0.25"/>
    <row r="258" s="83" customFormat="1" x14ac:dyDescent="0.25"/>
    <row r="259" s="83" customFormat="1" x14ac:dyDescent="0.25"/>
    <row r="260" s="83" customFormat="1" x14ac:dyDescent="0.25"/>
    <row r="261" s="83" customFormat="1" x14ac:dyDescent="0.25"/>
    <row r="262" s="83" customFormat="1" x14ac:dyDescent="0.25"/>
    <row r="263" s="83" customFormat="1" x14ac:dyDescent="0.25"/>
    <row r="264" s="83" customFormat="1" x14ac:dyDescent="0.25"/>
    <row r="265" s="83" customFormat="1" x14ac:dyDescent="0.25"/>
    <row r="266" s="83" customFormat="1" x14ac:dyDescent="0.25"/>
    <row r="267" s="83" customFormat="1" x14ac:dyDescent="0.25"/>
    <row r="268" s="83" customFormat="1" x14ac:dyDescent="0.25"/>
    <row r="269" s="83" customFormat="1" x14ac:dyDescent="0.25"/>
    <row r="270" s="83" customFormat="1" x14ac:dyDescent="0.25"/>
    <row r="271" s="83" customFormat="1" x14ac:dyDescent="0.25"/>
    <row r="272" s="83" customFormat="1" x14ac:dyDescent="0.25"/>
    <row r="273" s="83" customFormat="1" x14ac:dyDescent="0.25"/>
    <row r="274" s="83" customFormat="1" x14ac:dyDescent="0.25"/>
    <row r="275" s="83" customFormat="1" x14ac:dyDescent="0.25"/>
    <row r="276" s="83" customFormat="1" x14ac:dyDescent="0.25"/>
    <row r="277" s="83" customFormat="1" x14ac:dyDescent="0.25"/>
    <row r="278" s="83" customFormat="1" x14ac:dyDescent="0.25"/>
    <row r="279" s="83" customFormat="1" x14ac:dyDescent="0.25"/>
    <row r="280" s="83" customFormat="1" x14ac:dyDescent="0.25"/>
    <row r="281" s="83" customFormat="1" x14ac:dyDescent="0.25"/>
    <row r="282" s="83" customFormat="1" x14ac:dyDescent="0.25"/>
    <row r="283" s="83" customFormat="1" x14ac:dyDescent="0.25"/>
    <row r="284" s="83" customFormat="1" x14ac:dyDescent="0.25"/>
    <row r="285" s="83" customFormat="1" x14ac:dyDescent="0.25"/>
    <row r="286" s="83" customFormat="1" x14ac:dyDescent="0.25"/>
    <row r="287" s="83" customFormat="1" x14ac:dyDescent="0.25"/>
    <row r="288" s="83" customFormat="1" x14ac:dyDescent="0.25"/>
    <row r="289" s="83" customFormat="1" x14ac:dyDescent="0.25"/>
    <row r="290" s="83" customFormat="1" x14ac:dyDescent="0.25"/>
    <row r="291" s="83" customFormat="1" x14ac:dyDescent="0.25"/>
    <row r="292" s="83" customFormat="1" x14ac:dyDescent="0.25"/>
    <row r="293" s="83" customFormat="1" x14ac:dyDescent="0.25"/>
    <row r="294" s="83" customFormat="1" x14ac:dyDescent="0.25"/>
    <row r="295" s="83" customFormat="1" x14ac:dyDescent="0.25"/>
    <row r="296" s="83" customFormat="1" x14ac:dyDescent="0.25"/>
    <row r="297" s="83" customFormat="1" x14ac:dyDescent="0.25"/>
    <row r="298" s="83" customFormat="1" x14ac:dyDescent="0.25"/>
    <row r="299" s="83" customFormat="1" x14ac:dyDescent="0.25"/>
    <row r="300" s="83" customFormat="1" x14ac:dyDescent="0.25"/>
    <row r="301" s="83" customFormat="1" x14ac:dyDescent="0.25"/>
    <row r="302" s="83" customFormat="1" x14ac:dyDescent="0.25"/>
    <row r="303" s="83" customFormat="1" x14ac:dyDescent="0.25"/>
    <row r="304" s="83" customFormat="1" x14ac:dyDescent="0.25"/>
    <row r="305" s="83" customFormat="1" x14ac:dyDescent="0.25"/>
    <row r="306" s="83" customFormat="1" x14ac:dyDescent="0.25"/>
    <row r="307" s="83" customFormat="1" x14ac:dyDescent="0.25"/>
    <row r="308" s="83" customFormat="1" x14ac:dyDescent="0.25"/>
    <row r="309" s="83" customFormat="1" x14ac:dyDescent="0.25"/>
    <row r="310" s="83" customFormat="1" x14ac:dyDescent="0.25"/>
    <row r="311" s="83" customFormat="1" x14ac:dyDescent="0.25"/>
    <row r="312" s="83" customFormat="1" x14ac:dyDescent="0.25"/>
    <row r="313" s="83" customFormat="1" x14ac:dyDescent="0.25"/>
    <row r="314" s="83" customFormat="1" x14ac:dyDescent="0.25"/>
    <row r="315" s="83" customFormat="1" x14ac:dyDescent="0.25"/>
    <row r="316" s="83" customFormat="1" x14ac:dyDescent="0.25"/>
    <row r="317" s="83" customFormat="1" x14ac:dyDescent="0.25"/>
    <row r="318" s="83" customFormat="1" x14ac:dyDescent="0.25"/>
    <row r="319" s="83" customFormat="1" x14ac:dyDescent="0.25"/>
    <row r="320" s="83" customFormat="1" x14ac:dyDescent="0.25"/>
    <row r="321" s="83" customFormat="1" x14ac:dyDescent="0.25"/>
    <row r="322" s="83" customFormat="1" x14ac:dyDescent="0.25"/>
    <row r="323" s="83" customFormat="1" x14ac:dyDescent="0.25"/>
    <row r="324" s="83" customFormat="1" x14ac:dyDescent="0.25"/>
    <row r="325" s="83" customFormat="1" x14ac:dyDescent="0.25"/>
    <row r="326" s="83" customFormat="1" x14ac:dyDescent="0.25"/>
    <row r="327" s="83" customFormat="1" x14ac:dyDescent="0.25"/>
    <row r="328" s="83" customFormat="1" x14ac:dyDescent="0.25"/>
    <row r="329" s="83" customFormat="1" x14ac:dyDescent="0.25"/>
    <row r="330" s="83" customFormat="1" x14ac:dyDescent="0.25"/>
    <row r="331" s="83" customFormat="1" x14ac:dyDescent="0.25"/>
    <row r="332" s="83" customFormat="1" x14ac:dyDescent="0.25"/>
    <row r="333" s="83" customFormat="1" x14ac:dyDescent="0.25"/>
    <row r="334" s="83" customFormat="1" x14ac:dyDescent="0.25"/>
    <row r="335" s="83" customFormat="1" x14ac:dyDescent="0.25"/>
    <row r="336" s="83" customFormat="1" x14ac:dyDescent="0.25"/>
    <row r="337" s="83" customFormat="1" x14ac:dyDescent="0.25"/>
    <row r="338" s="83" customFormat="1" x14ac:dyDescent="0.25"/>
    <row r="339" s="83" customFormat="1" x14ac:dyDescent="0.25"/>
    <row r="340" s="83" customFormat="1" x14ac:dyDescent="0.25"/>
    <row r="341" s="83" customFormat="1" x14ac:dyDescent="0.25"/>
    <row r="342" s="83" customFormat="1" x14ac:dyDescent="0.25"/>
    <row r="343" s="83" customFormat="1" x14ac:dyDescent="0.25"/>
    <row r="344" s="83" customFormat="1" x14ac:dyDescent="0.25"/>
    <row r="345" s="83" customFormat="1" x14ac:dyDescent="0.25"/>
    <row r="346" s="83" customFormat="1" x14ac:dyDescent="0.25"/>
    <row r="347" s="83" customFormat="1" x14ac:dyDescent="0.25"/>
    <row r="348" s="83" customFormat="1" x14ac:dyDescent="0.25"/>
    <row r="349" s="83" customFormat="1" x14ac:dyDescent="0.25"/>
    <row r="350" s="83" customFormat="1" x14ac:dyDescent="0.25"/>
    <row r="351" s="83" customFormat="1" x14ac:dyDescent="0.25"/>
    <row r="352" s="83" customFormat="1" x14ac:dyDescent="0.25"/>
    <row r="353" s="83" customFormat="1" x14ac:dyDescent="0.25"/>
    <row r="354" s="83" customFormat="1" x14ac:dyDescent="0.25"/>
    <row r="355" s="83" customFormat="1" x14ac:dyDescent="0.25"/>
    <row r="356" s="83" customFormat="1" x14ac:dyDescent="0.25"/>
    <row r="357" s="83" customFormat="1" x14ac:dyDescent="0.25"/>
    <row r="358" s="83" customFormat="1" x14ac:dyDescent="0.25"/>
    <row r="359" s="83" customFormat="1" x14ac:dyDescent="0.25"/>
    <row r="360" s="83" customFormat="1" x14ac:dyDescent="0.25"/>
    <row r="361" s="83" customFormat="1" x14ac:dyDescent="0.25"/>
    <row r="362" s="83" customFormat="1" x14ac:dyDescent="0.25"/>
    <row r="363" s="83" customFormat="1" x14ac:dyDescent="0.25"/>
    <row r="364" s="83" customFormat="1" x14ac:dyDescent="0.25"/>
    <row r="365" s="83" customFormat="1" x14ac:dyDescent="0.25"/>
    <row r="366" s="83" customFormat="1" x14ac:dyDescent="0.25"/>
    <row r="367" s="83" customFormat="1" x14ac:dyDescent="0.25"/>
    <row r="368" s="83" customFormat="1" x14ac:dyDescent="0.25"/>
    <row r="369" s="83" customFormat="1" x14ac:dyDescent="0.25"/>
    <row r="370" s="83" customFormat="1" x14ac:dyDescent="0.25"/>
    <row r="371" s="83" customFormat="1" x14ac:dyDescent="0.25"/>
    <row r="372" s="83" customFormat="1" x14ac:dyDescent="0.25"/>
    <row r="373" s="83" customFormat="1" x14ac:dyDescent="0.25"/>
    <row r="374" s="83" customFormat="1" x14ac:dyDescent="0.25"/>
    <row r="375" s="83" customFormat="1" x14ac:dyDescent="0.25"/>
    <row r="376" s="83" customFormat="1" x14ac:dyDescent="0.25"/>
    <row r="377" s="83" customFormat="1" x14ac:dyDescent="0.25"/>
    <row r="378" s="83" customFormat="1" x14ac:dyDescent="0.25"/>
    <row r="379" s="83" customFormat="1" x14ac:dyDescent="0.25"/>
    <row r="380" s="83" customFormat="1" x14ac:dyDescent="0.25"/>
    <row r="381" s="83" customFormat="1" x14ac:dyDescent="0.25"/>
    <row r="382" s="83" customFormat="1" x14ac:dyDescent="0.25"/>
    <row r="383" s="83" customFormat="1" x14ac:dyDescent="0.25"/>
    <row r="384" s="83" customFormat="1" x14ac:dyDescent="0.25"/>
    <row r="385" s="83" customFormat="1" x14ac:dyDescent="0.25"/>
    <row r="386" s="83" customFormat="1" x14ac:dyDescent="0.25"/>
    <row r="387" s="83" customFormat="1" x14ac:dyDescent="0.25"/>
    <row r="388" s="83" customFormat="1" x14ac:dyDescent="0.25"/>
    <row r="389" s="83" customFormat="1" x14ac:dyDescent="0.25"/>
    <row r="390" s="83" customFormat="1" x14ac:dyDescent="0.25"/>
    <row r="391" s="83" customFormat="1" x14ac:dyDescent="0.25"/>
    <row r="392" s="83" customFormat="1" x14ac:dyDescent="0.25"/>
    <row r="393" s="83" customFormat="1" x14ac:dyDescent="0.25"/>
    <row r="394" s="83" customFormat="1" x14ac:dyDescent="0.25"/>
    <row r="395" s="83" customFormat="1" x14ac:dyDescent="0.25"/>
    <row r="396" s="83" customFormat="1" x14ac:dyDescent="0.25"/>
    <row r="397" s="83" customFormat="1" x14ac:dyDescent="0.25"/>
    <row r="398" s="83" customFormat="1" x14ac:dyDescent="0.25"/>
    <row r="399" s="83" customFormat="1" x14ac:dyDescent="0.25"/>
    <row r="400" s="83" customFormat="1" x14ac:dyDescent="0.25"/>
    <row r="401" s="83" customFormat="1" x14ac:dyDescent="0.25"/>
    <row r="402" s="83" customFormat="1" x14ac:dyDescent="0.25"/>
  </sheetData>
  <mergeCells count="12">
    <mergeCell ref="E162:I162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5"/>
  <sheetViews>
    <sheetView topLeftCell="A142" zoomScale="85" zoomScaleNormal="85" zoomScaleSheetLayoutView="75" workbookViewId="0">
      <selection activeCell="E142" sqref="E1:E1048576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220" t="s">
        <v>110</v>
      </c>
      <c r="B1" s="220"/>
      <c r="C1" s="220"/>
      <c r="D1" s="220"/>
      <c r="E1" s="220"/>
      <c r="F1" s="220"/>
      <c r="G1" s="220"/>
      <c r="H1" s="220"/>
      <c r="I1" s="220"/>
    </row>
    <row r="2" spans="1:19" ht="12.75" customHeight="1" x14ac:dyDescent="0.25">
      <c r="A2" s="220" t="s">
        <v>0</v>
      </c>
      <c r="B2" s="220"/>
      <c r="C2" s="220"/>
      <c r="D2" s="220"/>
      <c r="E2" s="220"/>
      <c r="F2" s="220"/>
      <c r="G2" s="220"/>
      <c r="H2" s="220"/>
      <c r="I2" s="220"/>
    </row>
    <row r="3" spans="1:19" ht="12.75" customHeight="1" x14ac:dyDescent="0.25">
      <c r="A3" s="220" t="s">
        <v>73</v>
      </c>
      <c r="B3" s="220"/>
      <c r="C3" s="220"/>
      <c r="D3" s="220"/>
      <c r="E3" s="220"/>
      <c r="F3" s="220"/>
      <c r="G3" s="220"/>
      <c r="H3" s="220"/>
      <c r="I3" s="220"/>
    </row>
    <row r="4" spans="1:19" ht="12.75" customHeight="1" x14ac:dyDescent="0.25">
      <c r="A4" s="220" t="s">
        <v>74</v>
      </c>
      <c r="B4" s="220"/>
      <c r="C4" s="220"/>
      <c r="D4" s="220"/>
      <c r="E4" s="220"/>
      <c r="F4" s="220"/>
      <c r="G4" s="220"/>
      <c r="H4" s="220"/>
      <c r="I4" s="220"/>
    </row>
    <row r="5" spans="1:19" ht="12.75" customHeight="1" x14ac:dyDescent="0.25">
      <c r="A5" s="220" t="s">
        <v>67</v>
      </c>
      <c r="B5" s="220"/>
      <c r="C5" s="220"/>
      <c r="D5" s="220"/>
      <c r="E5" s="220"/>
      <c r="F5" s="220"/>
      <c r="G5" s="220"/>
      <c r="H5" s="220"/>
      <c r="I5" s="220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5" customFormat="1" ht="42.75" customHeight="1" x14ac:dyDescent="0.25">
      <c r="A7" s="221" t="s">
        <v>76</v>
      </c>
      <c r="B7" s="221"/>
      <c r="C7" s="221"/>
      <c r="D7" s="221"/>
      <c r="E7" s="221"/>
      <c r="F7" s="221"/>
      <c r="G7" s="221"/>
      <c r="H7" s="221"/>
      <c r="I7" s="221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5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5" customFormat="1" ht="15.75" customHeight="1" thickBot="1" x14ac:dyDescent="0.3">
      <c r="A9" s="222" t="s">
        <v>1</v>
      </c>
      <c r="B9" s="222"/>
      <c r="C9" s="222"/>
      <c r="D9" s="222"/>
      <c r="E9" s="222"/>
      <c r="F9" s="222"/>
      <c r="G9" s="222"/>
      <c r="H9" s="222"/>
      <c r="I9" s="222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5" customFormat="1" ht="13.5" customHeight="1" thickBot="1" x14ac:dyDescent="0.3">
      <c r="A10" s="223" t="s">
        <v>2</v>
      </c>
      <c r="B10" s="61"/>
      <c r="C10" s="61"/>
      <c r="D10" s="228" t="s">
        <v>3</v>
      </c>
      <c r="E10" s="229"/>
      <c r="F10" s="228" t="s">
        <v>46</v>
      </c>
      <c r="G10" s="229"/>
      <c r="H10" s="228" t="s">
        <v>75</v>
      </c>
      <c r="I10" s="229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5" customFormat="1" ht="56.25" customHeight="1" thickBot="1" x14ac:dyDescent="0.3">
      <c r="A11" s="224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5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5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SUM(D15:D17)</f>
        <v>2857.2999999999997</v>
      </c>
      <c r="E14" s="136">
        <f>SUM(E15:E17)</f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37">
        <f>2991.7-134.4</f>
        <v>2857.2999999999997</v>
      </c>
      <c r="E15" s="137">
        <v>231.7</v>
      </c>
      <c r="F15" s="137">
        <f>2922.4-32.4</f>
        <v>2890</v>
      </c>
      <c r="G15" s="137">
        <v>234.4</v>
      </c>
      <c r="H15" s="137">
        <f>2093.3+814.5</f>
        <v>2907.8</v>
      </c>
      <c r="I15" s="137">
        <v>235.8</v>
      </c>
      <c r="J15" s="83"/>
      <c r="K15" s="83">
        <f>D15*7.5/92.5</f>
        <v>231.67297297297293</v>
      </c>
      <c r="L15" s="83">
        <f>E15-K15</f>
        <v>2.7027027027060058E-2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68.25" hidden="1" customHeight="1" x14ac:dyDescent="0.25">
      <c r="A16" s="89"/>
      <c r="B16" s="72"/>
      <c r="C16" s="72"/>
      <c r="D16" s="138"/>
      <c r="E16" s="138"/>
      <c r="F16" s="138"/>
      <c r="G16" s="138"/>
      <c r="H16" s="138"/>
      <c r="I16" s="138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1"/>
      <c r="B17" s="68"/>
      <c r="C17" s="68"/>
      <c r="D17" s="139"/>
      <c r="E17" s="139"/>
      <c r="F17" s="139"/>
      <c r="G17" s="139"/>
      <c r="H17" s="139"/>
      <c r="I17" s="139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6" customFormat="1" ht="13.5" thickBot="1" x14ac:dyDescent="0.3">
      <c r="A18" s="23"/>
      <c r="B18" s="65"/>
      <c r="C18" s="65"/>
      <c r="D18" s="140"/>
      <c r="E18" s="140"/>
      <c r="F18" s="140"/>
      <c r="G18" s="140"/>
      <c r="H18" s="140"/>
      <c r="I18" s="140"/>
      <c r="J18" s="83"/>
      <c r="K18" s="83"/>
      <c r="L18" s="83"/>
      <c r="M18" s="83"/>
      <c r="N18" s="83"/>
      <c r="O18" s="83"/>
      <c r="P18" s="83"/>
      <c r="Q18" s="83"/>
      <c r="R18" s="83"/>
      <c r="S18" s="83"/>
    </row>
    <row r="19" spans="1:19" s="14" customFormat="1" ht="33.75" customHeight="1" x14ac:dyDescent="0.25">
      <c r="A19" s="12" t="s">
        <v>9</v>
      </c>
      <c r="B19" s="66"/>
      <c r="C19" s="66"/>
      <c r="D19" s="141">
        <f t="shared" ref="D19:I19" si="1">SUM(D20:D31)</f>
        <v>201397.9</v>
      </c>
      <c r="E19" s="141">
        <f t="shared" si="1"/>
        <v>20114.7</v>
      </c>
      <c r="F19" s="141">
        <f t="shared" si="1"/>
        <v>112546.00000000001</v>
      </c>
      <c r="G19" s="141">
        <f t="shared" si="1"/>
        <v>5937.0000000000009</v>
      </c>
      <c r="H19" s="141">
        <f t="shared" si="1"/>
        <v>289874.30000000005</v>
      </c>
      <c r="I19" s="141">
        <f t="shared" si="1"/>
        <v>20249.7</v>
      </c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spans="1:19" s="25" customFormat="1" ht="64.5" customHeight="1" x14ac:dyDescent="0.25">
      <c r="A20" s="86" t="s">
        <v>10</v>
      </c>
      <c r="B20" s="69">
        <v>907</v>
      </c>
      <c r="C20" s="69" t="s">
        <v>49</v>
      </c>
      <c r="D20" s="137">
        <f>3098.6-17.5</f>
        <v>3081.1</v>
      </c>
      <c r="E20" s="137">
        <v>249.9</v>
      </c>
      <c r="F20" s="137">
        <f>3222.5-18.2</f>
        <v>3204.3</v>
      </c>
      <c r="G20" s="137">
        <f>259.8+0.1</f>
        <v>259.90000000000003</v>
      </c>
      <c r="H20" s="137">
        <f>3351.4-18.9</f>
        <v>3332.5</v>
      </c>
      <c r="I20" s="137">
        <f>270.2+0.1</f>
        <v>270.3</v>
      </c>
      <c r="J20" s="83"/>
      <c r="K20" s="83">
        <f t="shared" ref="K20:K30" si="2">D20*7.5/92.5</f>
        <v>249.81891891891891</v>
      </c>
      <c r="L20" s="83">
        <f t="shared" ref="L20:L30" si="3">E20-K20</f>
        <v>8.1081081081094908E-2</v>
      </c>
      <c r="M20" s="83">
        <f t="shared" ref="M20:M30" si="4">F20*7.5/92.5</f>
        <v>259.80810810810812</v>
      </c>
      <c r="N20" s="83">
        <f t="shared" ref="N20:N30" si="5">G20-M20</f>
        <v>9.1891891891918931E-2</v>
      </c>
      <c r="O20" s="83">
        <f t="shared" ref="O20:O30" si="6">H20*7.5/92.5</f>
        <v>270.20270270270271</v>
      </c>
      <c r="P20" s="83">
        <f t="shared" ref="P20:P30" si="7">I20-O20</f>
        <v>9.7297297297302521E-2</v>
      </c>
      <c r="Q20" s="83"/>
      <c r="R20" s="83"/>
      <c r="S20" s="83"/>
    </row>
    <row r="21" spans="1:19" s="18" customFormat="1" ht="66" customHeight="1" x14ac:dyDescent="0.25">
      <c r="A21" s="119" t="s">
        <v>11</v>
      </c>
      <c r="B21" s="100">
        <v>907</v>
      </c>
      <c r="C21" s="100" t="s">
        <v>50</v>
      </c>
      <c r="D21" s="142">
        <f>31477.3+2821.6</f>
        <v>34298.9</v>
      </c>
      <c r="E21" s="143"/>
      <c r="F21" s="142">
        <f>32355.9+1943</f>
        <v>34298.9</v>
      </c>
      <c r="G21" s="143"/>
      <c r="H21" s="142">
        <f>5500.5+29603.9</f>
        <v>35104.400000000001</v>
      </c>
      <c r="I21" s="143"/>
      <c r="J21" s="125"/>
      <c r="K21" s="83">
        <f t="shared" si="2"/>
        <v>2780.991891891892</v>
      </c>
      <c r="L21" s="83">
        <f t="shared" si="3"/>
        <v>-2780.991891891892</v>
      </c>
      <c r="M21" s="83">
        <f t="shared" si="4"/>
        <v>2780.991891891892</v>
      </c>
      <c r="N21" s="83">
        <f t="shared" si="5"/>
        <v>-2780.991891891892</v>
      </c>
      <c r="O21" s="83">
        <f t="shared" si="6"/>
        <v>2846.3027027027028</v>
      </c>
      <c r="P21" s="83">
        <f t="shared" si="7"/>
        <v>-2846.3027027027028</v>
      </c>
      <c r="Q21" s="125"/>
      <c r="R21" s="125"/>
      <c r="S21" s="125"/>
    </row>
    <row r="22" spans="1:19" s="18" customFormat="1" ht="129.75" customHeight="1" x14ac:dyDescent="0.25">
      <c r="A22" s="120" t="s">
        <v>68</v>
      </c>
      <c r="B22" s="97"/>
      <c r="C22" s="97"/>
      <c r="D22" s="144">
        <v>1352.8</v>
      </c>
      <c r="E22" s="143">
        <v>109.7</v>
      </c>
      <c r="F22" s="143">
        <v>1352.8</v>
      </c>
      <c r="G22" s="144">
        <v>109.7</v>
      </c>
      <c r="H22" s="143">
        <v>1352.8</v>
      </c>
      <c r="I22" s="145">
        <v>109.7</v>
      </c>
      <c r="J22" s="125"/>
      <c r="K22" s="83">
        <f t="shared" si="2"/>
        <v>109.68648648648649</v>
      </c>
      <c r="L22" s="83">
        <f t="shared" si="3"/>
        <v>1.3513513513515818E-2</v>
      </c>
      <c r="M22" s="83">
        <f t="shared" si="4"/>
        <v>109.68648648648649</v>
      </c>
      <c r="N22" s="83">
        <f t="shared" si="5"/>
        <v>1.3513513513515818E-2</v>
      </c>
      <c r="O22" s="83">
        <f t="shared" si="6"/>
        <v>109.68648648648649</v>
      </c>
      <c r="P22" s="83">
        <f t="shared" si="7"/>
        <v>1.3513513513515818E-2</v>
      </c>
      <c r="Q22" s="125"/>
      <c r="R22" s="125"/>
      <c r="S22" s="125"/>
    </row>
    <row r="23" spans="1:19" s="18" customFormat="1" ht="129.75" customHeight="1" x14ac:dyDescent="0.25">
      <c r="A23" s="120" t="s">
        <v>113</v>
      </c>
      <c r="D23" s="146">
        <v>5099.3999999999996</v>
      </c>
      <c r="E23" s="143"/>
      <c r="F23" s="142">
        <v>5026.8999999999996</v>
      </c>
      <c r="G23" s="144"/>
      <c r="H23" s="142">
        <v>5026.8999999999996</v>
      </c>
      <c r="I23" s="145"/>
      <c r="J23" s="125"/>
      <c r="K23" s="83">
        <f t="shared" si="2"/>
        <v>413.46486486486486</v>
      </c>
      <c r="L23" s="83">
        <f t="shared" si="3"/>
        <v>-413.46486486486486</v>
      </c>
      <c r="M23" s="83">
        <f t="shared" si="4"/>
        <v>407.58648648648648</v>
      </c>
      <c r="N23" s="83">
        <f t="shared" si="5"/>
        <v>-407.58648648648648</v>
      </c>
      <c r="O23" s="83">
        <f t="shared" si="6"/>
        <v>407.58648648648648</v>
      </c>
      <c r="P23" s="83">
        <f t="shared" si="7"/>
        <v>-407.58648648648648</v>
      </c>
      <c r="Q23" s="125"/>
      <c r="R23" s="125"/>
      <c r="S23" s="125"/>
    </row>
    <row r="24" spans="1:19" s="18" customFormat="1" ht="129.75" customHeight="1" x14ac:dyDescent="0.25">
      <c r="A24" s="121" t="s">
        <v>114</v>
      </c>
      <c r="B24" s="122"/>
      <c r="C24" s="122"/>
      <c r="D24" s="147">
        <v>79625.2</v>
      </c>
      <c r="E24" s="148">
        <f>6456+0.1</f>
        <v>6456.1</v>
      </c>
      <c r="F24" s="149"/>
      <c r="G24" s="150"/>
      <c r="H24" s="149"/>
      <c r="I24" s="151"/>
      <c r="J24" s="125"/>
      <c r="K24" s="83">
        <f t="shared" si="2"/>
        <v>6456.0972972972977</v>
      </c>
      <c r="L24" s="83">
        <f t="shared" si="3"/>
        <v>2.7027027026633732E-3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1" t="s">
        <v>125</v>
      </c>
      <c r="B25" s="122"/>
      <c r="C25" s="122"/>
      <c r="D25" s="150"/>
      <c r="E25" s="148">
        <v>6979.5</v>
      </c>
      <c r="F25" s="149"/>
      <c r="G25" s="150"/>
      <c r="H25" s="149"/>
      <c r="I25" s="151"/>
      <c r="J25" s="125"/>
      <c r="K25" s="83">
        <f t="shared" si="2"/>
        <v>0</v>
      </c>
      <c r="L25" s="83">
        <f t="shared" si="3"/>
        <v>6979.5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129.75" customHeight="1" x14ac:dyDescent="0.25">
      <c r="A26" s="120" t="s">
        <v>115</v>
      </c>
      <c r="B26" s="97"/>
      <c r="C26" s="97"/>
      <c r="D26" s="146">
        <v>13653</v>
      </c>
      <c r="E26" s="142">
        <v>1107</v>
      </c>
      <c r="F26" s="143"/>
      <c r="G26" s="144"/>
      <c r="H26" s="143"/>
      <c r="I26" s="145"/>
      <c r="J26" s="125"/>
      <c r="K26" s="83">
        <f t="shared" si="2"/>
        <v>1107</v>
      </c>
      <c r="L26" s="83">
        <f t="shared" si="3"/>
        <v>0</v>
      </c>
      <c r="M26" s="83">
        <f t="shared" si="4"/>
        <v>0</v>
      </c>
      <c r="N26" s="83">
        <f t="shared" si="5"/>
        <v>0</v>
      </c>
      <c r="O26" s="83">
        <f t="shared" si="6"/>
        <v>0</v>
      </c>
      <c r="P26" s="83">
        <f t="shared" si="7"/>
        <v>0</v>
      </c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6">
        <v>64287.5</v>
      </c>
      <c r="E27" s="142">
        <v>5212.5</v>
      </c>
      <c r="F27" s="143"/>
      <c r="G27" s="144"/>
      <c r="H27" s="143"/>
      <c r="I27" s="145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4"/>
      <c r="E28" s="143"/>
      <c r="F28" s="142">
        <v>67620.5</v>
      </c>
      <c r="G28" s="146">
        <v>5482.8</v>
      </c>
      <c r="H28" s="142">
        <v>235057.7</v>
      </c>
      <c r="I28" s="152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4"/>
      <c r="E29" s="143"/>
      <c r="F29" s="142">
        <v>1042.5999999999999</v>
      </c>
      <c r="G29" s="146">
        <f>84.6</f>
        <v>84.6</v>
      </c>
      <c r="H29" s="143"/>
      <c r="I29" s="145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85.5" customHeight="1" x14ac:dyDescent="0.25">
      <c r="A30" s="120" t="s">
        <v>123</v>
      </c>
      <c r="B30" s="97"/>
      <c r="C30" s="97"/>
      <c r="D30" s="144"/>
      <c r="E30" s="143"/>
      <c r="F30" s="143"/>
      <c r="G30" s="144"/>
      <c r="H30" s="142">
        <v>10000</v>
      </c>
      <c r="I30" s="152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6" customFormat="1" ht="14.25" customHeight="1" thickBot="1" x14ac:dyDescent="0.3">
      <c r="A31" s="52"/>
      <c r="B31" s="80"/>
      <c r="C31" s="80"/>
      <c r="D31" s="153"/>
      <c r="E31" s="153"/>
      <c r="F31" s="153"/>
      <c r="G31" s="153"/>
      <c r="H31" s="153"/>
      <c r="I31" s="153"/>
      <c r="J31" s="83"/>
      <c r="K31" s="83"/>
      <c r="L31" s="83"/>
      <c r="M31" s="83"/>
      <c r="N31" s="83"/>
      <c r="O31" s="83"/>
      <c r="P31" s="83"/>
      <c r="Q31" s="83"/>
      <c r="R31" s="83"/>
      <c r="S31" s="83"/>
    </row>
    <row r="32" spans="1:19" s="16" customFormat="1" ht="13.5" thickBot="1" x14ac:dyDescent="0.3">
      <c r="A32" s="23"/>
      <c r="B32" s="65"/>
      <c r="C32" s="65"/>
      <c r="D32" s="140"/>
      <c r="E32" s="140"/>
      <c r="F32" s="140"/>
      <c r="G32" s="140"/>
      <c r="H32" s="140"/>
      <c r="I32" s="140"/>
      <c r="J32" s="83"/>
      <c r="K32" s="83"/>
      <c r="L32" s="83"/>
      <c r="M32" s="83"/>
      <c r="N32" s="83"/>
      <c r="O32" s="83"/>
      <c r="P32" s="83"/>
      <c r="Q32" s="83"/>
      <c r="R32" s="83"/>
      <c r="S32" s="83"/>
    </row>
    <row r="33" spans="1:19" s="14" customFormat="1" ht="45.75" customHeight="1" x14ac:dyDescent="0.25">
      <c r="A33" s="12" t="s">
        <v>12</v>
      </c>
      <c r="B33" s="66"/>
      <c r="C33" s="66"/>
      <c r="D33" s="136">
        <f t="shared" ref="D33:I33" si="8">SUM(D34:D73)</f>
        <v>144233.50000000003</v>
      </c>
      <c r="E33" s="136">
        <f t="shared" si="8"/>
        <v>4071.4</v>
      </c>
      <c r="F33" s="136">
        <f t="shared" si="8"/>
        <v>214864.6</v>
      </c>
      <c r="G33" s="136">
        <f t="shared" si="8"/>
        <v>3382.3999999999996</v>
      </c>
      <c r="H33" s="136">
        <f t="shared" si="8"/>
        <v>114467.2</v>
      </c>
      <c r="I33" s="136">
        <f t="shared" si="8"/>
        <v>1958.6999999999996</v>
      </c>
      <c r="J33" s="124"/>
      <c r="K33" s="124"/>
      <c r="L33" s="124"/>
      <c r="M33" s="124"/>
      <c r="N33" s="124"/>
      <c r="O33" s="124"/>
      <c r="P33" s="124"/>
      <c r="Q33" s="124"/>
      <c r="R33" s="124"/>
      <c r="S33" s="124"/>
    </row>
    <row r="34" spans="1:19" s="23" customFormat="1" ht="65.25" customHeight="1" x14ac:dyDescent="0.25">
      <c r="A34" s="27" t="s">
        <v>13</v>
      </c>
      <c r="B34" s="71">
        <v>914</v>
      </c>
      <c r="C34" s="71" t="s">
        <v>51</v>
      </c>
      <c r="D34" s="137">
        <f>102.1-0.2</f>
        <v>101.89999999999999</v>
      </c>
      <c r="E34" s="154">
        <v>8.3000000000000007</v>
      </c>
      <c r="F34" s="137">
        <f>107.1-0.5</f>
        <v>106.6</v>
      </c>
      <c r="G34" s="137">
        <v>8.6999999999999993</v>
      </c>
      <c r="H34" s="137">
        <f>110.9-0.6</f>
        <v>110.30000000000001</v>
      </c>
      <c r="I34" s="137">
        <v>9</v>
      </c>
      <c r="J34" s="126"/>
      <c r="K34" s="83">
        <f t="shared" ref="K34:K72" si="9">D34*7.5/92.5</f>
        <v>8.262162162162161</v>
      </c>
      <c r="L34" s="83">
        <f t="shared" ref="L34:L72" si="10">E34-K34</f>
        <v>3.7837837837839672E-2</v>
      </c>
      <c r="M34" s="83">
        <f t="shared" ref="M34:M72" si="11">F34*7.5/92.5</f>
        <v>8.6432432432432424</v>
      </c>
      <c r="N34" s="83">
        <f t="shared" ref="N34:N72" si="12">G34-M34</f>
        <v>5.6756756756756843E-2</v>
      </c>
      <c r="O34" s="83">
        <f t="shared" ref="O34:O72" si="13">H34*7.5/92.5</f>
        <v>8.9432432432432449</v>
      </c>
      <c r="P34" s="83">
        <f t="shared" ref="P34:P72" si="14">I34-O34</f>
        <v>5.6756756756755067E-2</v>
      </c>
      <c r="Q34" s="126"/>
      <c r="R34" s="126"/>
      <c r="S34" s="126"/>
    </row>
    <row r="35" spans="1:19" s="23" customFormat="1" ht="68.25" customHeight="1" x14ac:dyDescent="0.25">
      <c r="A35" s="27" t="s">
        <v>14</v>
      </c>
      <c r="B35" s="71">
        <v>914</v>
      </c>
      <c r="C35" s="71" t="s">
        <v>51</v>
      </c>
      <c r="D35" s="137">
        <f>188.4-0.3</f>
        <v>188.1</v>
      </c>
      <c r="E35" s="154">
        <v>15.3</v>
      </c>
      <c r="F35" s="137">
        <f>198.8-1.1</f>
        <v>197.70000000000002</v>
      </c>
      <c r="G35" s="137">
        <v>16.100000000000001</v>
      </c>
      <c r="H35" s="137">
        <f>206.8-1.2</f>
        <v>205.60000000000002</v>
      </c>
      <c r="I35" s="137">
        <v>16.7</v>
      </c>
      <c r="J35" s="126"/>
      <c r="K35" s="83">
        <f t="shared" si="9"/>
        <v>15.251351351351351</v>
      </c>
      <c r="L35" s="83">
        <f t="shared" si="10"/>
        <v>4.8648648648649484E-2</v>
      </c>
      <c r="M35" s="83">
        <f t="shared" si="11"/>
        <v>16.029729729729731</v>
      </c>
      <c r="N35" s="83">
        <f t="shared" si="12"/>
        <v>7.0270270270270885E-2</v>
      </c>
      <c r="O35" s="83">
        <f t="shared" si="13"/>
        <v>16.670270270270272</v>
      </c>
      <c r="P35" s="83">
        <f t="shared" si="14"/>
        <v>2.9729729729726984E-2</v>
      </c>
      <c r="Q35" s="126"/>
      <c r="R35" s="126"/>
      <c r="S35" s="126"/>
    </row>
    <row r="36" spans="1:19" s="23" customFormat="1" ht="75.75" hidden="1" customHeight="1" x14ac:dyDescent="0.25">
      <c r="A36" s="27" t="s">
        <v>78</v>
      </c>
      <c r="B36" s="71">
        <v>914</v>
      </c>
      <c r="C36" s="71" t="s">
        <v>52</v>
      </c>
      <c r="D36" s="154">
        <f>11775.9-11775.9</f>
        <v>0</v>
      </c>
      <c r="E36" s="154"/>
      <c r="F36" s="154"/>
      <c r="G36" s="154"/>
      <c r="H36" s="154"/>
      <c r="I36" s="154"/>
      <c r="J36" s="126"/>
      <c r="K36" s="83">
        <f t="shared" si="9"/>
        <v>0</v>
      </c>
      <c r="L36" s="83">
        <f t="shared" si="10"/>
        <v>0</v>
      </c>
      <c r="M36" s="83">
        <f t="shared" si="11"/>
        <v>0</v>
      </c>
      <c r="N36" s="83">
        <f t="shared" si="12"/>
        <v>0</v>
      </c>
      <c r="O36" s="83">
        <f t="shared" si="13"/>
        <v>0</v>
      </c>
      <c r="P36" s="83">
        <f t="shared" si="14"/>
        <v>0</v>
      </c>
      <c r="Q36" s="126"/>
      <c r="R36" s="126"/>
      <c r="S36" s="126"/>
    </row>
    <row r="37" spans="1:19" s="23" customFormat="1" ht="87" customHeight="1" x14ac:dyDescent="0.25">
      <c r="A37" s="28" t="s">
        <v>15</v>
      </c>
      <c r="B37" s="67">
        <v>914</v>
      </c>
      <c r="C37" s="67" t="s">
        <v>53</v>
      </c>
      <c r="D37" s="143">
        <v>10570.1</v>
      </c>
      <c r="E37" s="154">
        <v>857.4</v>
      </c>
      <c r="F37" s="143">
        <v>10570.1</v>
      </c>
      <c r="G37" s="154">
        <v>857.4</v>
      </c>
      <c r="H37" s="143">
        <v>10570.1</v>
      </c>
      <c r="I37" s="154">
        <v>857.4</v>
      </c>
      <c r="J37" s="126"/>
      <c r="K37" s="83">
        <f t="shared" si="9"/>
        <v>857.03513513513508</v>
      </c>
      <c r="L37" s="83">
        <f t="shared" si="10"/>
        <v>0.36486486486489866</v>
      </c>
      <c r="M37" s="83">
        <f t="shared" si="11"/>
        <v>857.03513513513508</v>
      </c>
      <c r="N37" s="83">
        <f t="shared" si="12"/>
        <v>0.36486486486489866</v>
      </c>
      <c r="O37" s="83">
        <f t="shared" si="13"/>
        <v>857.03513513513508</v>
      </c>
      <c r="P37" s="83">
        <f t="shared" si="14"/>
        <v>0.36486486486489866</v>
      </c>
      <c r="Q37" s="126"/>
      <c r="R37" s="126"/>
      <c r="S37" s="126"/>
    </row>
    <row r="38" spans="1:19" s="23" customFormat="1" ht="45" customHeight="1" x14ac:dyDescent="0.25">
      <c r="A38" s="30" t="s">
        <v>81</v>
      </c>
      <c r="B38" s="72">
        <v>914</v>
      </c>
      <c r="C38" s="72" t="s">
        <v>52</v>
      </c>
      <c r="D38" s="155">
        <f>1339.3-209.2</f>
        <v>1130.0999999999999</v>
      </c>
      <c r="E38" s="156">
        <f>91.7-77.1</f>
        <v>14.600000000000009</v>
      </c>
      <c r="F38" s="157"/>
      <c r="G38" s="138"/>
      <c r="H38" s="155">
        <v>22593.7</v>
      </c>
      <c r="I38" s="138">
        <f>1832-1574.9</f>
        <v>257.09999999999991</v>
      </c>
      <c r="J38" s="126"/>
      <c r="K38" s="83">
        <f t="shared" si="9"/>
        <v>91.629729729729732</v>
      </c>
      <c r="L38" s="83">
        <f t="shared" si="10"/>
        <v>-77.029729729729723</v>
      </c>
      <c r="M38" s="83">
        <f t="shared" si="11"/>
        <v>0</v>
      </c>
      <c r="N38" s="83">
        <f t="shared" si="12"/>
        <v>0</v>
      </c>
      <c r="O38" s="83">
        <f t="shared" si="13"/>
        <v>1831.9216216216216</v>
      </c>
      <c r="P38" s="83">
        <f t="shared" si="14"/>
        <v>-1574.8216216216217</v>
      </c>
      <c r="Q38" s="126"/>
      <c r="R38" s="126"/>
      <c r="S38" s="126"/>
    </row>
    <row r="39" spans="1:19" s="23" customFormat="1" ht="64.5" hidden="1" customHeight="1" x14ac:dyDescent="0.25">
      <c r="A39" s="92" t="s">
        <v>60</v>
      </c>
      <c r="B39" s="70"/>
      <c r="C39" s="70"/>
      <c r="D39" s="157">
        <f>5061.8-5061.8</f>
        <v>0</v>
      </c>
      <c r="E39" s="157"/>
      <c r="F39" s="138"/>
      <c r="G39" s="138"/>
      <c r="H39" s="157"/>
      <c r="I39" s="138"/>
      <c r="J39" s="126"/>
      <c r="K39" s="83">
        <f t="shared" si="9"/>
        <v>0</v>
      </c>
      <c r="L39" s="83">
        <f t="shared" si="10"/>
        <v>0</v>
      </c>
      <c r="M39" s="83">
        <f t="shared" si="11"/>
        <v>0</v>
      </c>
      <c r="N39" s="83">
        <f t="shared" si="12"/>
        <v>0</v>
      </c>
      <c r="O39" s="83">
        <f t="shared" si="13"/>
        <v>0</v>
      </c>
      <c r="P39" s="83">
        <f t="shared" si="14"/>
        <v>0</v>
      </c>
      <c r="Q39" s="126"/>
      <c r="R39" s="126"/>
      <c r="S39" s="126"/>
    </row>
    <row r="40" spans="1:19" s="23" customFormat="1" ht="64.5" customHeight="1" x14ac:dyDescent="0.25">
      <c r="A40" s="31" t="s">
        <v>83</v>
      </c>
      <c r="B40" s="91"/>
      <c r="C40" s="70"/>
      <c r="D40" s="157"/>
      <c r="E40" s="157"/>
      <c r="F40" s="138">
        <v>2970</v>
      </c>
      <c r="G40" s="138">
        <v>30</v>
      </c>
      <c r="H40" s="138"/>
      <c r="I40" s="138"/>
      <c r="J40" s="126"/>
      <c r="K40" s="83">
        <f t="shared" si="9"/>
        <v>0</v>
      </c>
      <c r="L40" s="83">
        <f t="shared" si="10"/>
        <v>0</v>
      </c>
      <c r="M40" s="83">
        <f t="shared" ref="M40:M45" si="15">F40*1/99</f>
        <v>30</v>
      </c>
      <c r="N40" s="83">
        <f t="shared" si="12"/>
        <v>0</v>
      </c>
      <c r="O40" s="83">
        <f t="shared" si="13"/>
        <v>0</v>
      </c>
      <c r="P40" s="83">
        <f t="shared" si="14"/>
        <v>0</v>
      </c>
      <c r="Q40" s="126"/>
      <c r="R40" s="126"/>
      <c r="S40" s="126"/>
    </row>
    <row r="41" spans="1:19" s="23" customFormat="1" ht="64.5" customHeight="1" x14ac:dyDescent="0.25">
      <c r="A41" s="31" t="s">
        <v>84</v>
      </c>
      <c r="B41" s="91"/>
      <c r="C41" s="70"/>
      <c r="D41" s="157"/>
      <c r="E41" s="157"/>
      <c r="F41" s="138">
        <v>6138</v>
      </c>
      <c r="G41" s="138">
        <v>62</v>
      </c>
      <c r="H41" s="138"/>
      <c r="I41" s="138"/>
      <c r="J41" s="126"/>
      <c r="K41" s="83">
        <f t="shared" si="9"/>
        <v>0</v>
      </c>
      <c r="L41" s="83">
        <f t="shared" si="10"/>
        <v>0</v>
      </c>
      <c r="M41" s="83">
        <f t="shared" si="15"/>
        <v>62</v>
      </c>
      <c r="N41" s="83">
        <f>G41-M41</f>
        <v>0</v>
      </c>
      <c r="O41" s="83">
        <f t="shared" si="13"/>
        <v>0</v>
      </c>
      <c r="P41" s="83">
        <f t="shared" si="14"/>
        <v>0</v>
      </c>
      <c r="Q41" s="126"/>
      <c r="R41" s="126"/>
      <c r="S41" s="126"/>
    </row>
    <row r="42" spans="1:19" s="23" customFormat="1" ht="64.5" customHeight="1" x14ac:dyDescent="0.25">
      <c r="A42" s="31" t="s">
        <v>65</v>
      </c>
      <c r="B42" s="91"/>
      <c r="C42" s="70"/>
      <c r="D42" s="157"/>
      <c r="E42" s="157"/>
      <c r="F42" s="138">
        <v>7128</v>
      </c>
      <c r="G42" s="138">
        <v>72</v>
      </c>
      <c r="H42" s="138"/>
      <c r="I42" s="138"/>
      <c r="J42" s="126"/>
      <c r="K42" s="83">
        <f t="shared" si="9"/>
        <v>0</v>
      </c>
      <c r="L42" s="83">
        <f t="shared" si="10"/>
        <v>0</v>
      </c>
      <c r="M42" s="83">
        <f t="shared" si="15"/>
        <v>72</v>
      </c>
      <c r="N42" s="83">
        <f>G42-M42</f>
        <v>0</v>
      </c>
      <c r="O42" s="83">
        <f t="shared" si="13"/>
        <v>0</v>
      </c>
      <c r="P42" s="83">
        <f t="shared" si="14"/>
        <v>0</v>
      </c>
      <c r="Q42" s="126"/>
      <c r="R42" s="126"/>
      <c r="S42" s="126"/>
    </row>
    <row r="43" spans="1:19" s="23" customFormat="1" ht="64.5" customHeight="1" x14ac:dyDescent="0.25">
      <c r="A43" s="31" t="s">
        <v>85</v>
      </c>
      <c r="B43" s="91"/>
      <c r="C43" s="70"/>
      <c r="D43" s="157"/>
      <c r="E43" s="157"/>
      <c r="F43" s="138">
        <v>2178</v>
      </c>
      <c r="G43" s="138">
        <v>22</v>
      </c>
      <c r="H43" s="138"/>
      <c r="I43" s="138"/>
      <c r="J43" s="126"/>
      <c r="K43" s="83">
        <f t="shared" si="9"/>
        <v>0</v>
      </c>
      <c r="L43" s="83">
        <f t="shared" si="10"/>
        <v>0</v>
      </c>
      <c r="M43" s="83">
        <f t="shared" si="15"/>
        <v>22</v>
      </c>
      <c r="N43" s="83">
        <f>G43-M43</f>
        <v>0</v>
      </c>
      <c r="O43" s="83">
        <f t="shared" si="13"/>
        <v>0</v>
      </c>
      <c r="P43" s="83">
        <f t="shared" si="14"/>
        <v>0</v>
      </c>
      <c r="Q43" s="126"/>
      <c r="R43" s="126"/>
      <c r="S43" s="126"/>
    </row>
    <row r="44" spans="1:19" s="23" customFormat="1" ht="64.5" customHeight="1" x14ac:dyDescent="0.25">
      <c r="A44" s="31" t="s">
        <v>86</v>
      </c>
      <c r="B44" s="91"/>
      <c r="C44" s="70"/>
      <c r="D44" s="157"/>
      <c r="E44" s="157"/>
      <c r="F44" s="138">
        <v>3465</v>
      </c>
      <c r="G44" s="138">
        <v>35</v>
      </c>
      <c r="H44" s="138"/>
      <c r="I44" s="138"/>
      <c r="J44" s="126"/>
      <c r="K44" s="83">
        <f t="shared" si="9"/>
        <v>0</v>
      </c>
      <c r="L44" s="83">
        <f t="shared" si="10"/>
        <v>0</v>
      </c>
      <c r="M44" s="83">
        <f t="shared" si="15"/>
        <v>35</v>
      </c>
      <c r="N44" s="83">
        <f>G44-M44</f>
        <v>0</v>
      </c>
      <c r="O44" s="83">
        <f t="shared" si="13"/>
        <v>0</v>
      </c>
      <c r="P44" s="83">
        <f t="shared" si="14"/>
        <v>0</v>
      </c>
      <c r="Q44" s="126"/>
      <c r="R44" s="126"/>
      <c r="S44" s="126"/>
    </row>
    <row r="45" spans="1:19" s="23" customFormat="1" ht="64.5" customHeight="1" x14ac:dyDescent="0.25">
      <c r="A45" s="31" t="s">
        <v>87</v>
      </c>
      <c r="B45" s="91"/>
      <c r="C45" s="70"/>
      <c r="D45" s="157"/>
      <c r="E45" s="157"/>
      <c r="F45" s="138">
        <v>5544</v>
      </c>
      <c r="G45" s="138">
        <v>56</v>
      </c>
      <c r="H45" s="138"/>
      <c r="I45" s="138"/>
      <c r="J45" s="126"/>
      <c r="K45" s="83">
        <f t="shared" si="9"/>
        <v>0</v>
      </c>
      <c r="L45" s="83">
        <f t="shared" si="10"/>
        <v>0</v>
      </c>
      <c r="M45" s="83">
        <f t="shared" si="15"/>
        <v>56</v>
      </c>
      <c r="N45" s="83">
        <f>G45-M45</f>
        <v>0</v>
      </c>
      <c r="O45" s="83">
        <f t="shared" si="13"/>
        <v>0</v>
      </c>
      <c r="P45" s="83">
        <f t="shared" si="14"/>
        <v>0</v>
      </c>
      <c r="Q45" s="126"/>
      <c r="R45" s="126"/>
      <c r="S45" s="126"/>
    </row>
    <row r="46" spans="1:19" s="23" customFormat="1" ht="64.5" hidden="1" customHeight="1" x14ac:dyDescent="0.25">
      <c r="A46" s="31" t="s">
        <v>89</v>
      </c>
      <c r="B46" s="91"/>
      <c r="C46" s="70"/>
      <c r="D46" s="157"/>
      <c r="E46" s="157"/>
      <c r="F46" s="138"/>
      <c r="G46" s="138"/>
      <c r="H46" s="138">
        <f>10695.9-10695.9</f>
        <v>0</v>
      </c>
      <c r="I46" s="138"/>
      <c r="J46" s="126"/>
      <c r="K46" s="83">
        <f t="shared" si="9"/>
        <v>0</v>
      </c>
      <c r="L46" s="83">
        <f t="shared" si="10"/>
        <v>0</v>
      </c>
      <c r="M46" s="83">
        <f t="shared" si="11"/>
        <v>0</v>
      </c>
      <c r="N46" s="83">
        <f t="shared" si="12"/>
        <v>0</v>
      </c>
      <c r="O46" s="83">
        <f t="shared" si="13"/>
        <v>0</v>
      </c>
      <c r="P46" s="83">
        <f t="shared" si="14"/>
        <v>0</v>
      </c>
      <c r="Q46" s="126"/>
      <c r="R46" s="126"/>
      <c r="S46" s="126"/>
    </row>
    <row r="47" spans="1:19" s="23" customFormat="1" ht="64.5" hidden="1" customHeight="1" x14ac:dyDescent="0.25">
      <c r="A47" s="31" t="s">
        <v>90</v>
      </c>
      <c r="B47" s="91"/>
      <c r="C47" s="70"/>
      <c r="D47" s="157"/>
      <c r="E47" s="157"/>
      <c r="F47" s="138"/>
      <c r="G47" s="138"/>
      <c r="H47" s="138">
        <f>6938.5-6938.5</f>
        <v>0</v>
      </c>
      <c r="I47" s="138"/>
      <c r="J47" s="126"/>
      <c r="K47" s="83">
        <f t="shared" si="9"/>
        <v>0</v>
      </c>
      <c r="L47" s="83">
        <f t="shared" si="10"/>
        <v>0</v>
      </c>
      <c r="M47" s="83">
        <f t="shared" si="11"/>
        <v>0</v>
      </c>
      <c r="N47" s="83">
        <f t="shared" si="12"/>
        <v>0</v>
      </c>
      <c r="O47" s="83">
        <f t="shared" si="13"/>
        <v>0</v>
      </c>
      <c r="P47" s="83">
        <f t="shared" si="14"/>
        <v>0</v>
      </c>
      <c r="Q47" s="126"/>
      <c r="R47" s="126"/>
      <c r="S47" s="126"/>
    </row>
    <row r="48" spans="1:19" s="23" customFormat="1" ht="64.5" hidden="1" customHeight="1" x14ac:dyDescent="0.25">
      <c r="A48" s="31" t="s">
        <v>91</v>
      </c>
      <c r="B48" s="91"/>
      <c r="C48" s="70"/>
      <c r="D48" s="157"/>
      <c r="E48" s="157"/>
      <c r="F48" s="138"/>
      <c r="G48" s="138"/>
      <c r="H48" s="138">
        <f>2249.2-2249.2</f>
        <v>0</v>
      </c>
      <c r="I48" s="138"/>
      <c r="J48" s="126"/>
      <c r="K48" s="83">
        <f t="shared" si="9"/>
        <v>0</v>
      </c>
      <c r="L48" s="83">
        <f t="shared" si="10"/>
        <v>0</v>
      </c>
      <c r="M48" s="83">
        <f t="shared" si="11"/>
        <v>0</v>
      </c>
      <c r="N48" s="83">
        <f t="shared" si="12"/>
        <v>0</v>
      </c>
      <c r="O48" s="83">
        <f t="shared" si="13"/>
        <v>0</v>
      </c>
      <c r="P48" s="83">
        <f t="shared" si="14"/>
        <v>0</v>
      </c>
      <c r="Q48" s="126"/>
      <c r="R48" s="126"/>
      <c r="S48" s="126"/>
    </row>
    <row r="49" spans="1:19" s="23" customFormat="1" ht="64.5" hidden="1" customHeight="1" x14ac:dyDescent="0.25">
      <c r="A49" s="31" t="s">
        <v>92</v>
      </c>
      <c r="B49" s="91"/>
      <c r="C49" s="70"/>
      <c r="D49" s="157"/>
      <c r="E49" s="157"/>
      <c r="F49" s="138"/>
      <c r="G49" s="138"/>
      <c r="H49" s="138">
        <f>2313.5-2313.5</f>
        <v>0</v>
      </c>
      <c r="I49" s="138"/>
      <c r="J49" s="126"/>
      <c r="K49" s="83">
        <f t="shared" si="9"/>
        <v>0</v>
      </c>
      <c r="L49" s="83">
        <f t="shared" si="10"/>
        <v>0</v>
      </c>
      <c r="M49" s="83">
        <f t="shared" si="11"/>
        <v>0</v>
      </c>
      <c r="N49" s="83">
        <f t="shared" si="12"/>
        <v>0</v>
      </c>
      <c r="O49" s="83">
        <f t="shared" si="13"/>
        <v>0</v>
      </c>
      <c r="P49" s="83">
        <f t="shared" si="14"/>
        <v>0</v>
      </c>
      <c r="Q49" s="126"/>
      <c r="R49" s="126"/>
      <c r="S49" s="126"/>
    </row>
    <row r="50" spans="1:19" s="23" customFormat="1" ht="64.5" hidden="1" customHeight="1" x14ac:dyDescent="0.25">
      <c r="A50" s="31" t="s">
        <v>93</v>
      </c>
      <c r="B50" s="91"/>
      <c r="C50" s="70"/>
      <c r="D50" s="157"/>
      <c r="E50" s="157"/>
      <c r="F50" s="138"/>
      <c r="G50" s="138"/>
      <c r="H50" s="138">
        <f>4010-4010</f>
        <v>0</v>
      </c>
      <c r="I50" s="138"/>
      <c r="J50" s="126"/>
      <c r="K50" s="83">
        <f t="shared" si="9"/>
        <v>0</v>
      </c>
      <c r="L50" s="83">
        <f t="shared" si="10"/>
        <v>0</v>
      </c>
      <c r="M50" s="83">
        <f t="shared" si="11"/>
        <v>0</v>
      </c>
      <c r="N50" s="83">
        <f t="shared" si="12"/>
        <v>0</v>
      </c>
      <c r="O50" s="83">
        <f t="shared" si="13"/>
        <v>0</v>
      </c>
      <c r="P50" s="83">
        <f t="shared" si="14"/>
        <v>0</v>
      </c>
      <c r="Q50" s="126"/>
      <c r="R50" s="126"/>
      <c r="S50" s="126"/>
    </row>
    <row r="51" spans="1:19" s="23" customFormat="1" ht="64.5" hidden="1" customHeight="1" x14ac:dyDescent="0.25">
      <c r="A51" s="31" t="s">
        <v>94</v>
      </c>
      <c r="B51" s="91"/>
      <c r="C51" s="70"/>
      <c r="D51" s="157"/>
      <c r="E51" s="157"/>
      <c r="F51" s="138"/>
      <c r="G51" s="138"/>
      <c r="H51" s="138">
        <f>24897.5-24897.5</f>
        <v>0</v>
      </c>
      <c r="I51" s="138"/>
      <c r="J51" s="126"/>
      <c r="K51" s="83">
        <f t="shared" si="9"/>
        <v>0</v>
      </c>
      <c r="L51" s="83">
        <f t="shared" si="10"/>
        <v>0</v>
      </c>
      <c r="M51" s="83">
        <f t="shared" si="11"/>
        <v>0</v>
      </c>
      <c r="N51" s="83">
        <f t="shared" si="12"/>
        <v>0</v>
      </c>
      <c r="O51" s="83">
        <f t="shared" si="13"/>
        <v>0</v>
      </c>
      <c r="P51" s="83">
        <f t="shared" si="14"/>
        <v>0</v>
      </c>
      <c r="Q51" s="126"/>
      <c r="R51" s="126"/>
      <c r="S51" s="126"/>
    </row>
    <row r="52" spans="1:19" s="23" customFormat="1" ht="64.5" hidden="1" customHeight="1" x14ac:dyDescent="0.25">
      <c r="A52" s="90" t="s">
        <v>95</v>
      </c>
      <c r="B52" s="91"/>
      <c r="C52" s="70"/>
      <c r="D52" s="157"/>
      <c r="E52" s="157"/>
      <c r="F52" s="138"/>
      <c r="G52" s="138"/>
      <c r="H52" s="138">
        <f>12455.8-12455.8</f>
        <v>0</v>
      </c>
      <c r="I52" s="138"/>
      <c r="J52" s="126"/>
      <c r="K52" s="83">
        <f t="shared" si="9"/>
        <v>0</v>
      </c>
      <c r="L52" s="83">
        <f t="shared" si="10"/>
        <v>0</v>
      </c>
      <c r="M52" s="83">
        <f t="shared" si="11"/>
        <v>0</v>
      </c>
      <c r="N52" s="83">
        <f t="shared" si="12"/>
        <v>0</v>
      </c>
      <c r="O52" s="83">
        <f t="shared" si="13"/>
        <v>0</v>
      </c>
      <c r="P52" s="83">
        <f t="shared" si="14"/>
        <v>0</v>
      </c>
      <c r="Q52" s="126"/>
      <c r="R52" s="126"/>
      <c r="S52" s="126"/>
    </row>
    <row r="53" spans="1:19" s="23" customFormat="1" ht="64.5" hidden="1" customHeight="1" x14ac:dyDescent="0.25">
      <c r="A53" s="92" t="s">
        <v>96</v>
      </c>
      <c r="B53" s="91"/>
      <c r="C53" s="70"/>
      <c r="D53" s="157"/>
      <c r="E53" s="157"/>
      <c r="F53" s="138"/>
      <c r="G53" s="138"/>
      <c r="H53" s="138">
        <f>1409.6-1409.6</f>
        <v>0</v>
      </c>
      <c r="I53" s="138"/>
      <c r="J53" s="126"/>
      <c r="K53" s="83">
        <f t="shared" si="9"/>
        <v>0</v>
      </c>
      <c r="L53" s="83">
        <f t="shared" si="10"/>
        <v>0</v>
      </c>
      <c r="M53" s="83">
        <f t="shared" si="11"/>
        <v>0</v>
      </c>
      <c r="N53" s="83">
        <f t="shared" si="12"/>
        <v>0</v>
      </c>
      <c r="O53" s="83">
        <f t="shared" si="13"/>
        <v>0</v>
      </c>
      <c r="P53" s="83">
        <f t="shared" si="14"/>
        <v>0</v>
      </c>
      <c r="Q53" s="126"/>
      <c r="R53" s="126"/>
      <c r="S53" s="126"/>
    </row>
    <row r="54" spans="1:19" s="23" customFormat="1" ht="64.5" customHeight="1" x14ac:dyDescent="0.25">
      <c r="A54" s="90" t="s">
        <v>97</v>
      </c>
      <c r="B54" s="91"/>
      <c r="C54" s="70"/>
      <c r="D54" s="157"/>
      <c r="E54" s="157"/>
      <c r="F54" s="138"/>
      <c r="G54" s="138"/>
      <c r="H54" s="156">
        <f>7780+2838.6</f>
        <v>10618.6</v>
      </c>
      <c r="I54" s="156">
        <v>107.3</v>
      </c>
      <c r="J54" s="126"/>
      <c r="K54" s="83">
        <f t="shared" si="9"/>
        <v>0</v>
      </c>
      <c r="L54" s="83">
        <f t="shared" si="10"/>
        <v>0</v>
      </c>
      <c r="M54" s="83">
        <f t="shared" si="11"/>
        <v>0</v>
      </c>
      <c r="N54" s="83">
        <f t="shared" si="12"/>
        <v>0</v>
      </c>
      <c r="O54" s="83">
        <f t="shared" ref="O54:O63" si="16">H54*1/99</f>
        <v>107.25858585858586</v>
      </c>
      <c r="P54" s="83">
        <f t="shared" si="14"/>
        <v>4.1414141414136907E-2</v>
      </c>
      <c r="Q54" s="126"/>
      <c r="R54" s="126"/>
      <c r="S54" s="126"/>
    </row>
    <row r="55" spans="1:19" s="23" customFormat="1" ht="64.5" customHeight="1" x14ac:dyDescent="0.25">
      <c r="A55" s="90" t="s">
        <v>98</v>
      </c>
      <c r="B55" s="91"/>
      <c r="C55" s="70"/>
      <c r="D55" s="157"/>
      <c r="E55" s="157"/>
      <c r="F55" s="138"/>
      <c r="G55" s="138"/>
      <c r="H55" s="156">
        <f>4798.7+1755.8</f>
        <v>6554.5</v>
      </c>
      <c r="I55" s="156">
        <f>66.2+0.1</f>
        <v>66.3</v>
      </c>
      <c r="J55" s="126"/>
      <c r="K55" s="83">
        <f t="shared" si="9"/>
        <v>0</v>
      </c>
      <c r="L55" s="83">
        <f t="shared" si="10"/>
        <v>0</v>
      </c>
      <c r="M55" s="83">
        <f t="shared" si="11"/>
        <v>0</v>
      </c>
      <c r="N55" s="83">
        <f t="shared" si="12"/>
        <v>0</v>
      </c>
      <c r="O55" s="83">
        <f t="shared" si="16"/>
        <v>66.207070707070713</v>
      </c>
      <c r="P55" s="83">
        <f t="shared" si="14"/>
        <v>9.2929292929284202E-2</v>
      </c>
      <c r="Q55" s="126"/>
      <c r="R55" s="126"/>
      <c r="S55" s="126"/>
    </row>
    <row r="56" spans="1:19" s="23" customFormat="1" ht="64.5" customHeight="1" x14ac:dyDescent="0.25">
      <c r="A56" s="90" t="s">
        <v>99</v>
      </c>
      <c r="B56" s="91"/>
      <c r="C56" s="70"/>
      <c r="D56" s="157"/>
      <c r="E56" s="157"/>
      <c r="F56" s="138"/>
      <c r="G56" s="138"/>
      <c r="H56" s="156">
        <f>25644.3+2176.1</f>
        <v>27820.399999999998</v>
      </c>
      <c r="I56" s="156">
        <v>281.10000000000002</v>
      </c>
      <c r="J56" s="126"/>
      <c r="K56" s="83">
        <f t="shared" si="9"/>
        <v>0</v>
      </c>
      <c r="L56" s="83">
        <f t="shared" si="10"/>
        <v>0</v>
      </c>
      <c r="M56" s="83">
        <f t="shared" si="11"/>
        <v>0</v>
      </c>
      <c r="N56" s="83">
        <f t="shared" si="12"/>
        <v>0</v>
      </c>
      <c r="O56" s="83">
        <f t="shared" si="16"/>
        <v>281.01414141414142</v>
      </c>
      <c r="P56" s="83">
        <f t="shared" si="14"/>
        <v>8.585858585860251E-2</v>
      </c>
      <c r="Q56" s="126"/>
      <c r="R56" s="126"/>
      <c r="S56" s="126"/>
    </row>
    <row r="57" spans="1:19" s="23" customFormat="1" ht="64.5" customHeight="1" x14ac:dyDescent="0.25">
      <c r="A57" s="90" t="s">
        <v>100</v>
      </c>
      <c r="B57" s="91"/>
      <c r="C57" s="70"/>
      <c r="D57" s="157"/>
      <c r="E57" s="157"/>
      <c r="F57" s="138"/>
      <c r="G57" s="138"/>
      <c r="H57" s="156">
        <f>6658.9+548.9</f>
        <v>7207.7999999999993</v>
      </c>
      <c r="I57" s="156">
        <f>72.8+0.1</f>
        <v>72.899999999999991</v>
      </c>
      <c r="J57" s="126"/>
      <c r="K57" s="83">
        <f t="shared" si="9"/>
        <v>0</v>
      </c>
      <c r="L57" s="83">
        <f t="shared" si="10"/>
        <v>0</v>
      </c>
      <c r="M57" s="83">
        <f t="shared" si="11"/>
        <v>0</v>
      </c>
      <c r="N57" s="83">
        <f t="shared" si="12"/>
        <v>0</v>
      </c>
      <c r="O57" s="83">
        <f t="shared" si="16"/>
        <v>72.806060606060598</v>
      </c>
      <c r="P57" s="83">
        <f t="shared" si="14"/>
        <v>9.3939393939393767E-2</v>
      </c>
      <c r="Q57" s="126"/>
      <c r="R57" s="126"/>
      <c r="S57" s="126"/>
    </row>
    <row r="58" spans="1:19" s="23" customFormat="1" ht="64.5" hidden="1" customHeight="1" x14ac:dyDescent="0.25">
      <c r="A58" s="90" t="s">
        <v>101</v>
      </c>
      <c r="B58" s="91"/>
      <c r="C58" s="70"/>
      <c r="D58" s="157"/>
      <c r="E58" s="157"/>
      <c r="F58" s="138"/>
      <c r="G58" s="138"/>
      <c r="H58" s="138">
        <f>4048.7-4048.7</f>
        <v>0</v>
      </c>
      <c r="I58" s="138"/>
      <c r="J58" s="126"/>
      <c r="K58" s="83">
        <f t="shared" si="9"/>
        <v>0</v>
      </c>
      <c r="L58" s="83">
        <f t="shared" si="10"/>
        <v>0</v>
      </c>
      <c r="M58" s="83">
        <f t="shared" si="11"/>
        <v>0</v>
      </c>
      <c r="N58" s="83">
        <f t="shared" si="12"/>
        <v>0</v>
      </c>
      <c r="O58" s="83">
        <f t="shared" si="16"/>
        <v>0</v>
      </c>
      <c r="P58" s="83">
        <f t="shared" si="14"/>
        <v>0</v>
      </c>
      <c r="Q58" s="126"/>
      <c r="R58" s="126"/>
      <c r="S58" s="126"/>
    </row>
    <row r="59" spans="1:19" s="23" customFormat="1" ht="64.5" hidden="1" customHeight="1" x14ac:dyDescent="0.25">
      <c r="A59" s="92" t="s">
        <v>102</v>
      </c>
      <c r="B59" s="91"/>
      <c r="C59" s="70"/>
      <c r="D59" s="157"/>
      <c r="E59" s="157"/>
      <c r="F59" s="138"/>
      <c r="G59" s="138"/>
      <c r="H59" s="138">
        <f>2232.1-2232.1</f>
        <v>0</v>
      </c>
      <c r="I59" s="138"/>
      <c r="J59" s="126"/>
      <c r="K59" s="83">
        <f t="shared" si="9"/>
        <v>0</v>
      </c>
      <c r="L59" s="83">
        <f t="shared" si="10"/>
        <v>0</v>
      </c>
      <c r="M59" s="83">
        <f t="shared" si="11"/>
        <v>0</v>
      </c>
      <c r="N59" s="83">
        <f t="shared" si="12"/>
        <v>0</v>
      </c>
      <c r="O59" s="83">
        <f t="shared" si="16"/>
        <v>0</v>
      </c>
      <c r="P59" s="83">
        <f t="shared" si="14"/>
        <v>0</v>
      </c>
      <c r="Q59" s="126"/>
      <c r="R59" s="126"/>
      <c r="S59" s="126"/>
    </row>
    <row r="60" spans="1:19" s="23" customFormat="1" ht="64.5" hidden="1" customHeight="1" x14ac:dyDescent="0.25">
      <c r="A60" s="90" t="s">
        <v>103</v>
      </c>
      <c r="B60" s="91"/>
      <c r="C60" s="70"/>
      <c r="D60" s="157"/>
      <c r="E60" s="157"/>
      <c r="F60" s="138"/>
      <c r="G60" s="138"/>
      <c r="H60" s="158">
        <f>2244.1-2244.1</f>
        <v>0</v>
      </c>
      <c r="I60" s="138"/>
      <c r="J60" s="126"/>
      <c r="K60" s="83">
        <f t="shared" si="9"/>
        <v>0</v>
      </c>
      <c r="L60" s="83">
        <f t="shared" si="10"/>
        <v>0</v>
      </c>
      <c r="M60" s="83">
        <f t="shared" si="11"/>
        <v>0</v>
      </c>
      <c r="N60" s="83">
        <f t="shared" si="12"/>
        <v>0</v>
      </c>
      <c r="O60" s="83">
        <f t="shared" si="16"/>
        <v>0</v>
      </c>
      <c r="P60" s="83">
        <f t="shared" si="14"/>
        <v>0</v>
      </c>
      <c r="Q60" s="126"/>
      <c r="R60" s="126"/>
      <c r="S60" s="126"/>
    </row>
    <row r="61" spans="1:19" s="23" customFormat="1" ht="64.5" customHeight="1" x14ac:dyDescent="0.25">
      <c r="A61" s="90" t="s">
        <v>104</v>
      </c>
      <c r="B61" s="91"/>
      <c r="C61" s="70"/>
      <c r="D61" s="157"/>
      <c r="E61" s="157"/>
      <c r="F61" s="138"/>
      <c r="G61" s="138"/>
      <c r="H61" s="159">
        <f>15993+1339.1</f>
        <v>17332.099999999999</v>
      </c>
      <c r="I61" s="156">
        <v>175.1</v>
      </c>
      <c r="J61" s="126"/>
      <c r="K61" s="83">
        <f t="shared" si="9"/>
        <v>0</v>
      </c>
      <c r="L61" s="83">
        <f t="shared" si="10"/>
        <v>0</v>
      </c>
      <c r="M61" s="83">
        <f t="shared" si="11"/>
        <v>0</v>
      </c>
      <c r="N61" s="83">
        <f t="shared" si="12"/>
        <v>0</v>
      </c>
      <c r="O61" s="83">
        <f t="shared" si="16"/>
        <v>175.07171717171715</v>
      </c>
      <c r="P61" s="83">
        <f t="shared" si="14"/>
        <v>2.8282828282840455E-2</v>
      </c>
      <c r="Q61" s="126"/>
      <c r="R61" s="126"/>
      <c r="S61" s="126"/>
    </row>
    <row r="62" spans="1:19" s="23" customFormat="1" ht="64.5" customHeight="1" x14ac:dyDescent="0.25">
      <c r="A62" s="90" t="s">
        <v>105</v>
      </c>
      <c r="B62" s="91"/>
      <c r="C62" s="70"/>
      <c r="D62" s="157"/>
      <c r="E62" s="157"/>
      <c r="F62" s="138"/>
      <c r="G62" s="138"/>
      <c r="H62" s="159">
        <f>3744.1+321.8</f>
        <v>4065.9</v>
      </c>
      <c r="I62" s="156">
        <v>41.1</v>
      </c>
      <c r="J62" s="126"/>
      <c r="K62" s="83">
        <f t="shared" si="9"/>
        <v>0</v>
      </c>
      <c r="L62" s="83">
        <f t="shared" si="10"/>
        <v>0</v>
      </c>
      <c r="M62" s="83">
        <f t="shared" si="11"/>
        <v>0</v>
      </c>
      <c r="N62" s="83">
        <f t="shared" si="12"/>
        <v>0</v>
      </c>
      <c r="O62" s="83">
        <f t="shared" si="16"/>
        <v>41.06969696969697</v>
      </c>
      <c r="P62" s="83">
        <f t="shared" si="14"/>
        <v>3.0303030303031164E-2</v>
      </c>
      <c r="Q62" s="126"/>
      <c r="R62" s="126"/>
      <c r="S62" s="126"/>
    </row>
    <row r="63" spans="1:19" s="23" customFormat="1" ht="64.5" customHeight="1" x14ac:dyDescent="0.25">
      <c r="A63" s="90" t="s">
        <v>106</v>
      </c>
      <c r="B63" s="91"/>
      <c r="C63" s="70"/>
      <c r="D63" s="157"/>
      <c r="E63" s="157"/>
      <c r="F63" s="138"/>
      <c r="G63" s="138"/>
      <c r="H63" s="159">
        <f>5672.9+1715.3</f>
        <v>7388.2</v>
      </c>
      <c r="I63" s="156">
        <v>74.7</v>
      </c>
      <c r="J63" s="126"/>
      <c r="K63" s="83">
        <f t="shared" si="9"/>
        <v>0</v>
      </c>
      <c r="L63" s="83">
        <f t="shared" si="10"/>
        <v>0</v>
      </c>
      <c r="M63" s="83">
        <f t="shared" si="11"/>
        <v>0</v>
      </c>
      <c r="N63" s="83">
        <f t="shared" si="12"/>
        <v>0</v>
      </c>
      <c r="O63" s="83">
        <f t="shared" si="16"/>
        <v>74.628282828282821</v>
      </c>
      <c r="P63" s="83">
        <f t="shared" si="14"/>
        <v>7.1717171717182282E-2</v>
      </c>
      <c r="Q63" s="126"/>
      <c r="R63" s="126"/>
      <c r="S63" s="126"/>
    </row>
    <row r="64" spans="1:19" s="23" customFormat="1" ht="64.5" hidden="1" customHeight="1" x14ac:dyDescent="0.25">
      <c r="A64" s="90" t="s">
        <v>107</v>
      </c>
      <c r="B64" s="91"/>
      <c r="C64" s="70"/>
      <c r="D64" s="157"/>
      <c r="E64" s="157"/>
      <c r="F64" s="138"/>
      <c r="G64" s="138"/>
      <c r="H64" s="160">
        <f>33678.3-33678.3</f>
        <v>0</v>
      </c>
      <c r="I64" s="138"/>
      <c r="J64" s="126"/>
      <c r="K64" s="83">
        <f t="shared" si="9"/>
        <v>0</v>
      </c>
      <c r="L64" s="83">
        <f t="shared" si="10"/>
        <v>0</v>
      </c>
      <c r="M64" s="83">
        <f t="shared" si="11"/>
        <v>0</v>
      </c>
      <c r="N64" s="83">
        <f t="shared" si="12"/>
        <v>0</v>
      </c>
      <c r="O64" s="83">
        <f t="shared" si="13"/>
        <v>0</v>
      </c>
      <c r="P64" s="83">
        <f t="shared" si="14"/>
        <v>0</v>
      </c>
      <c r="Q64" s="126"/>
      <c r="R64" s="126"/>
      <c r="S64" s="126"/>
    </row>
    <row r="65" spans="1:19" s="23" customFormat="1" ht="64.5" hidden="1" customHeight="1" x14ac:dyDescent="0.25">
      <c r="A65" s="90" t="s">
        <v>108</v>
      </c>
      <c r="B65" s="91"/>
      <c r="C65" s="70"/>
      <c r="D65" s="157"/>
      <c r="E65" s="157"/>
      <c r="F65" s="138"/>
      <c r="G65" s="161"/>
      <c r="H65" s="162">
        <f>1485.6-1485.6</f>
        <v>0</v>
      </c>
      <c r="I65" s="163"/>
      <c r="J65" s="126"/>
      <c r="K65" s="83">
        <f t="shared" si="9"/>
        <v>0</v>
      </c>
      <c r="L65" s="83">
        <f t="shared" si="10"/>
        <v>0</v>
      </c>
      <c r="M65" s="83">
        <f t="shared" si="11"/>
        <v>0</v>
      </c>
      <c r="N65" s="83">
        <f t="shared" si="12"/>
        <v>0</v>
      </c>
      <c r="O65" s="83">
        <f t="shared" si="13"/>
        <v>0</v>
      </c>
      <c r="P65" s="83">
        <f t="shared" si="14"/>
        <v>0</v>
      </c>
      <c r="Q65" s="126"/>
      <c r="R65" s="126"/>
      <c r="S65" s="126"/>
    </row>
    <row r="66" spans="1:19" s="23" customFormat="1" ht="64.5" hidden="1" customHeight="1" x14ac:dyDescent="0.25">
      <c r="A66" s="90" t="s">
        <v>109</v>
      </c>
      <c r="B66" s="91"/>
      <c r="C66" s="70"/>
      <c r="D66" s="157"/>
      <c r="E66" s="157"/>
      <c r="F66" s="138"/>
      <c r="G66" s="161"/>
      <c r="H66" s="162">
        <f>2036.8-2036.8</f>
        <v>0</v>
      </c>
      <c r="I66" s="163"/>
      <c r="J66" s="126"/>
      <c r="K66" s="83">
        <f t="shared" si="9"/>
        <v>0</v>
      </c>
      <c r="L66" s="83">
        <f t="shared" si="10"/>
        <v>0</v>
      </c>
      <c r="M66" s="83">
        <f t="shared" si="11"/>
        <v>0</v>
      </c>
      <c r="N66" s="83">
        <f t="shared" si="12"/>
        <v>0</v>
      </c>
      <c r="O66" s="83">
        <f t="shared" si="13"/>
        <v>0</v>
      </c>
      <c r="P66" s="83">
        <f t="shared" si="14"/>
        <v>0</v>
      </c>
      <c r="Q66" s="126"/>
      <c r="R66" s="126"/>
      <c r="S66" s="126"/>
    </row>
    <row r="67" spans="1:19" s="23" customFormat="1" ht="64.5" customHeight="1" x14ac:dyDescent="0.25">
      <c r="A67" s="31" t="s">
        <v>88</v>
      </c>
      <c r="B67" s="91"/>
      <c r="C67" s="70"/>
      <c r="D67" s="157"/>
      <c r="E67" s="157"/>
      <c r="F67" s="138">
        <v>20295</v>
      </c>
      <c r="G67" s="138">
        <v>205</v>
      </c>
      <c r="H67" s="138"/>
      <c r="I67" s="138"/>
      <c r="J67" s="126"/>
      <c r="K67" s="83">
        <f t="shared" si="9"/>
        <v>0</v>
      </c>
      <c r="L67" s="83">
        <f t="shared" si="10"/>
        <v>0</v>
      </c>
      <c r="M67" s="83">
        <f>F67*1/99</f>
        <v>205</v>
      </c>
      <c r="N67" s="83">
        <f t="shared" si="12"/>
        <v>0</v>
      </c>
      <c r="O67" s="83">
        <f t="shared" si="13"/>
        <v>0</v>
      </c>
      <c r="P67" s="83">
        <f t="shared" si="14"/>
        <v>0</v>
      </c>
      <c r="Q67" s="126"/>
      <c r="R67" s="126"/>
      <c r="S67" s="126"/>
    </row>
    <row r="68" spans="1:19" s="23" customFormat="1" ht="42.75" hidden="1" customHeight="1" x14ac:dyDescent="0.25">
      <c r="A68" s="31" t="s">
        <v>79</v>
      </c>
      <c r="B68" s="91"/>
      <c r="C68" s="70"/>
      <c r="D68" s="157">
        <f>55836-55836</f>
        <v>0</v>
      </c>
      <c r="E68" s="157"/>
      <c r="F68" s="138"/>
      <c r="G68" s="138"/>
      <c r="H68" s="138"/>
      <c r="I68" s="138"/>
      <c r="J68" s="126"/>
      <c r="K68" s="83">
        <f t="shared" si="9"/>
        <v>0</v>
      </c>
      <c r="L68" s="83">
        <f t="shared" si="10"/>
        <v>0</v>
      </c>
      <c r="M68" s="83">
        <f t="shared" si="11"/>
        <v>0</v>
      </c>
      <c r="N68" s="83">
        <f t="shared" si="12"/>
        <v>0</v>
      </c>
      <c r="O68" s="83">
        <f t="shared" si="13"/>
        <v>0</v>
      </c>
      <c r="P68" s="83">
        <f t="shared" si="14"/>
        <v>0</v>
      </c>
      <c r="Q68" s="126"/>
      <c r="R68" s="126"/>
      <c r="S68" s="126"/>
    </row>
    <row r="69" spans="1:19" s="23" customFormat="1" ht="72" customHeight="1" x14ac:dyDescent="0.25">
      <c r="A69" s="31" t="s">
        <v>117</v>
      </c>
      <c r="B69" s="91"/>
      <c r="C69" s="70"/>
      <c r="D69" s="155">
        <v>131290.1</v>
      </c>
      <c r="E69" s="155">
        <v>1695.6</v>
      </c>
      <c r="F69" s="156">
        <v>156272.20000000001</v>
      </c>
      <c r="G69" s="156">
        <v>2018.2</v>
      </c>
      <c r="H69" s="138"/>
      <c r="I69" s="138"/>
      <c r="J69" s="126"/>
      <c r="K69" s="83">
        <f t="shared" si="9"/>
        <v>10645.143243243243</v>
      </c>
      <c r="L69" s="83">
        <f t="shared" si="10"/>
        <v>-8949.5432432432426</v>
      </c>
      <c r="M69" s="83">
        <f t="shared" si="11"/>
        <v>12670.718918918919</v>
      </c>
      <c r="N69" s="83">
        <f t="shared" si="12"/>
        <v>-10652.518918918919</v>
      </c>
      <c r="O69" s="83">
        <f t="shared" si="13"/>
        <v>0</v>
      </c>
      <c r="P69" s="83">
        <f t="shared" si="14"/>
        <v>0</v>
      </c>
      <c r="Q69" s="126"/>
      <c r="R69" s="126"/>
      <c r="S69" s="126"/>
    </row>
    <row r="70" spans="1:19" s="23" customFormat="1" ht="72" customHeight="1" x14ac:dyDescent="0.25">
      <c r="A70" s="31" t="s">
        <v>118</v>
      </c>
      <c r="B70" s="91"/>
      <c r="C70" s="70"/>
      <c r="D70" s="155">
        <v>953.2</v>
      </c>
      <c r="E70" s="155">
        <v>77.3</v>
      </c>
      <c r="F70" s="138"/>
      <c r="G70" s="138"/>
      <c r="H70" s="138"/>
      <c r="I70" s="138"/>
      <c r="J70" s="126"/>
      <c r="K70" s="83">
        <f t="shared" si="9"/>
        <v>77.286486486486481</v>
      </c>
      <c r="L70" s="83">
        <f t="shared" si="10"/>
        <v>1.3513513513515818E-2</v>
      </c>
      <c r="M70" s="83">
        <f t="shared" si="11"/>
        <v>0</v>
      </c>
      <c r="N70" s="83">
        <f t="shared" si="12"/>
        <v>0</v>
      </c>
      <c r="O70" s="83">
        <f t="shared" si="13"/>
        <v>0</v>
      </c>
      <c r="P70" s="83">
        <f t="shared" si="14"/>
        <v>0</v>
      </c>
      <c r="Q70" s="126"/>
      <c r="R70" s="126"/>
      <c r="S70" s="126"/>
    </row>
    <row r="71" spans="1:19" s="23" customFormat="1" ht="118.5" customHeight="1" x14ac:dyDescent="0.25">
      <c r="A71" s="43" t="s">
        <v>126</v>
      </c>
      <c r="B71" s="91"/>
      <c r="C71" s="70"/>
      <c r="D71" s="157"/>
      <c r="E71" s="155">
        <v>838.9</v>
      </c>
      <c r="F71" s="138"/>
      <c r="G71" s="138"/>
      <c r="H71" s="138"/>
      <c r="I71" s="138"/>
      <c r="J71" s="126"/>
      <c r="K71" s="83">
        <f t="shared" si="9"/>
        <v>0</v>
      </c>
      <c r="L71" s="83">
        <f t="shared" si="10"/>
        <v>838.9</v>
      </c>
      <c r="M71" s="83">
        <f t="shared" si="11"/>
        <v>0</v>
      </c>
      <c r="N71" s="83">
        <f t="shared" si="12"/>
        <v>0</v>
      </c>
      <c r="O71" s="83">
        <f t="shared" si="13"/>
        <v>0</v>
      </c>
      <c r="P71" s="83">
        <f t="shared" si="14"/>
        <v>0</v>
      </c>
      <c r="Q71" s="126"/>
      <c r="R71" s="126"/>
      <c r="S71" s="126"/>
    </row>
    <row r="72" spans="1:19" s="23" customFormat="1" ht="96.75" customHeight="1" x14ac:dyDescent="0.25">
      <c r="A72" s="43" t="s">
        <v>79</v>
      </c>
      <c r="B72" s="91"/>
      <c r="C72" s="70"/>
      <c r="D72" s="157"/>
      <c r="E72" s="155">
        <v>564</v>
      </c>
      <c r="F72" s="138"/>
      <c r="G72" s="138"/>
      <c r="H72" s="138"/>
      <c r="I72" s="138"/>
      <c r="J72" s="126"/>
      <c r="K72" s="83">
        <f t="shared" si="9"/>
        <v>0</v>
      </c>
      <c r="L72" s="83">
        <f t="shared" si="10"/>
        <v>564</v>
      </c>
      <c r="M72" s="83">
        <f t="shared" si="11"/>
        <v>0</v>
      </c>
      <c r="N72" s="83">
        <f t="shared" si="12"/>
        <v>0</v>
      </c>
      <c r="O72" s="83">
        <f t="shared" si="13"/>
        <v>0</v>
      </c>
      <c r="P72" s="83">
        <f t="shared" si="14"/>
        <v>0</v>
      </c>
      <c r="Q72" s="126"/>
      <c r="R72" s="126"/>
      <c r="S72" s="126"/>
    </row>
    <row r="73" spans="1:19" s="23" customFormat="1" ht="13.5" customHeight="1" thickBot="1" x14ac:dyDescent="0.3">
      <c r="A73" s="21"/>
      <c r="B73" s="68"/>
      <c r="C73" s="68"/>
      <c r="D73" s="139"/>
      <c r="E73" s="139"/>
      <c r="F73" s="139"/>
      <c r="G73" s="139"/>
      <c r="H73" s="139"/>
      <c r="I73" s="139"/>
      <c r="J73" s="126"/>
      <c r="K73" s="126"/>
      <c r="L73" s="126"/>
      <c r="M73" s="126"/>
      <c r="N73" s="126"/>
      <c r="O73" s="126"/>
      <c r="P73" s="126"/>
      <c r="Q73" s="126"/>
      <c r="R73" s="126"/>
      <c r="S73" s="126"/>
    </row>
    <row r="74" spans="1:19" s="23" customFormat="1" ht="15" customHeight="1" thickBot="1" x14ac:dyDescent="0.3">
      <c r="B74" s="65"/>
      <c r="C74" s="65"/>
      <c r="D74" s="140"/>
      <c r="E74" s="140"/>
      <c r="F74" s="140"/>
      <c r="G74" s="140"/>
      <c r="H74" s="140"/>
      <c r="I74" s="140"/>
      <c r="J74" s="126"/>
      <c r="K74" s="126"/>
      <c r="L74" s="126"/>
      <c r="M74" s="126"/>
      <c r="N74" s="126"/>
      <c r="O74" s="126"/>
      <c r="P74" s="126"/>
      <c r="Q74" s="126"/>
      <c r="R74" s="126"/>
      <c r="S74" s="126"/>
    </row>
    <row r="75" spans="1:19" s="23" customFormat="1" ht="59.25" customHeight="1" x14ac:dyDescent="0.25">
      <c r="A75" s="12" t="s">
        <v>16</v>
      </c>
      <c r="B75" s="66"/>
      <c r="C75" s="66"/>
      <c r="D75" s="136">
        <f t="shared" ref="D75:I75" si="17">SUM(D76:D84)</f>
        <v>27281.7</v>
      </c>
      <c r="E75" s="136">
        <f t="shared" si="17"/>
        <v>1913.3000000000002</v>
      </c>
      <c r="F75" s="136">
        <f t="shared" si="17"/>
        <v>2088.1999999999998</v>
      </c>
      <c r="G75" s="136">
        <f t="shared" si="17"/>
        <v>149.4</v>
      </c>
      <c r="H75" s="136">
        <f t="shared" si="17"/>
        <v>781.1</v>
      </c>
      <c r="I75" s="136">
        <f t="shared" si="17"/>
        <v>43.300000000000004</v>
      </c>
      <c r="J75" s="126"/>
      <c r="K75" s="126"/>
      <c r="L75" s="126"/>
      <c r="M75" s="126"/>
      <c r="N75" s="126"/>
      <c r="O75" s="126"/>
      <c r="P75" s="126"/>
      <c r="Q75" s="126"/>
      <c r="R75" s="126"/>
      <c r="S75" s="126"/>
    </row>
    <row r="76" spans="1:19" s="23" customFormat="1" ht="80.25" customHeight="1" x14ac:dyDescent="0.25">
      <c r="A76" s="27" t="s">
        <v>17</v>
      </c>
      <c r="B76" s="71">
        <v>906</v>
      </c>
      <c r="C76" s="71" t="s">
        <v>55</v>
      </c>
      <c r="D76" s="154">
        <v>482.4</v>
      </c>
      <c r="E76" s="154">
        <v>39.200000000000003</v>
      </c>
      <c r="F76" s="154">
        <v>626.4</v>
      </c>
      <c r="G76" s="154">
        <v>50.8</v>
      </c>
      <c r="H76" s="154"/>
      <c r="I76" s="154"/>
      <c r="J76" s="126"/>
      <c r="K76" s="83">
        <f t="shared" ref="K76:K82" si="18">D76*7.5/92.5</f>
        <v>39.11351351351351</v>
      </c>
      <c r="L76" s="83">
        <f t="shared" ref="L76:L82" si="19">E76-K76</f>
        <v>8.6486486486492709E-2</v>
      </c>
      <c r="M76" s="83">
        <f t="shared" ref="M76:M82" si="20">F76*7.5/92.5</f>
        <v>50.789189189189187</v>
      </c>
      <c r="N76" s="83">
        <f t="shared" ref="N76:N82" si="21">G76-M76</f>
        <v>1.0810810810809812E-2</v>
      </c>
      <c r="O76" s="83">
        <f t="shared" ref="O76:O82" si="22">H76*7.5/92.5</f>
        <v>0</v>
      </c>
      <c r="P76" s="83">
        <f t="shared" ref="P76:P82" si="23">I76-O76</f>
        <v>0</v>
      </c>
      <c r="Q76" s="126"/>
      <c r="R76" s="126"/>
      <c r="S76" s="126"/>
    </row>
    <row r="77" spans="1:19" s="23" customFormat="1" ht="80.25" hidden="1" customHeight="1" x14ac:dyDescent="0.25">
      <c r="A77" s="27" t="s">
        <v>64</v>
      </c>
      <c r="B77" s="71"/>
      <c r="C77" s="71"/>
      <c r="D77" s="154"/>
      <c r="E77" s="154"/>
      <c r="F77" s="154"/>
      <c r="G77" s="154"/>
      <c r="H77" s="154"/>
      <c r="I77" s="154"/>
      <c r="J77" s="126"/>
      <c r="K77" s="83">
        <f t="shared" si="18"/>
        <v>0</v>
      </c>
      <c r="L77" s="83">
        <f t="shared" si="19"/>
        <v>0</v>
      </c>
      <c r="M77" s="83">
        <f t="shared" si="20"/>
        <v>0</v>
      </c>
      <c r="N77" s="83">
        <f t="shared" si="21"/>
        <v>0</v>
      </c>
      <c r="O77" s="83">
        <f t="shared" si="22"/>
        <v>0</v>
      </c>
      <c r="P77" s="83">
        <f t="shared" si="23"/>
        <v>0</v>
      </c>
      <c r="Q77" s="126"/>
      <c r="R77" s="126"/>
      <c r="S77" s="126"/>
    </row>
    <row r="78" spans="1:19" s="23" customFormat="1" ht="57.75" customHeight="1" x14ac:dyDescent="0.25">
      <c r="A78" s="27" t="s">
        <v>18</v>
      </c>
      <c r="B78" s="71">
        <v>906</v>
      </c>
      <c r="C78" s="71" t="s">
        <v>49</v>
      </c>
      <c r="D78" s="154">
        <v>481.6</v>
      </c>
      <c r="E78" s="154">
        <v>39.1</v>
      </c>
      <c r="F78" s="154">
        <v>481.6</v>
      </c>
      <c r="G78" s="154">
        <v>39.1</v>
      </c>
      <c r="H78" s="154">
        <v>481.6</v>
      </c>
      <c r="I78" s="154">
        <v>39.1</v>
      </c>
      <c r="J78" s="126"/>
      <c r="K78" s="83">
        <f t="shared" si="18"/>
        <v>39.048648648648651</v>
      </c>
      <c r="L78" s="83">
        <f t="shared" si="19"/>
        <v>5.1351351351350161E-2</v>
      </c>
      <c r="M78" s="83">
        <f t="shared" si="20"/>
        <v>39.048648648648651</v>
      </c>
      <c r="N78" s="83">
        <f t="shared" si="21"/>
        <v>5.1351351351350161E-2</v>
      </c>
      <c r="O78" s="83">
        <f t="shared" si="22"/>
        <v>39.048648648648651</v>
      </c>
      <c r="P78" s="83">
        <f t="shared" si="23"/>
        <v>5.1351351351350161E-2</v>
      </c>
      <c r="Q78" s="126"/>
      <c r="R78" s="126"/>
      <c r="S78" s="126"/>
    </row>
    <row r="79" spans="1:19" s="23" customFormat="1" ht="80.25" customHeight="1" x14ac:dyDescent="0.25">
      <c r="A79" s="31" t="s">
        <v>17</v>
      </c>
      <c r="B79" s="73"/>
      <c r="C79" s="73"/>
      <c r="D79" s="156">
        <f>328.1+31.4</f>
        <v>359.5</v>
      </c>
      <c r="E79" s="156">
        <v>5.0999999999999996</v>
      </c>
      <c r="F79" s="156">
        <f>328.1-28.9</f>
        <v>299.20000000000005</v>
      </c>
      <c r="G79" s="156">
        <v>4.2</v>
      </c>
      <c r="H79" s="156">
        <v>299.5</v>
      </c>
      <c r="I79" s="156">
        <v>4.2</v>
      </c>
      <c r="J79" s="126"/>
      <c r="K79" s="83">
        <f t="shared" si="18"/>
        <v>29.148648648648649</v>
      </c>
      <c r="L79" s="83">
        <f t="shared" si="19"/>
        <v>-24.048648648648651</v>
      </c>
      <c r="M79" s="83">
        <f t="shared" si="20"/>
        <v>24.259459459459464</v>
      </c>
      <c r="N79" s="83">
        <f t="shared" si="21"/>
        <v>-20.059459459459465</v>
      </c>
      <c r="O79" s="83">
        <f t="shared" si="22"/>
        <v>24.283783783783782</v>
      </c>
      <c r="P79" s="83">
        <f t="shared" si="23"/>
        <v>-20.083783783783783</v>
      </c>
      <c r="Q79" s="126"/>
      <c r="R79" s="126"/>
      <c r="S79" s="126"/>
    </row>
    <row r="80" spans="1:19" s="23" customFormat="1" ht="70.5" customHeight="1" x14ac:dyDescent="0.25">
      <c r="A80" s="31" t="s">
        <v>77</v>
      </c>
      <c r="B80" s="73">
        <v>906</v>
      </c>
      <c r="C80" s="73" t="s">
        <v>55</v>
      </c>
      <c r="D80" s="138">
        <v>486.4</v>
      </c>
      <c r="E80" s="138">
        <v>39.5</v>
      </c>
      <c r="F80" s="138">
        <v>681</v>
      </c>
      <c r="G80" s="138">
        <v>55.3</v>
      </c>
      <c r="H80" s="138"/>
      <c r="I80" s="138"/>
      <c r="J80" s="126"/>
      <c r="K80" s="83">
        <f t="shared" si="18"/>
        <v>39.43783783783784</v>
      </c>
      <c r="L80" s="83">
        <f t="shared" si="19"/>
        <v>6.2162162162159973E-2</v>
      </c>
      <c r="M80" s="83">
        <f t="shared" si="20"/>
        <v>55.216216216216218</v>
      </c>
      <c r="N80" s="83">
        <f t="shared" si="21"/>
        <v>8.3783783783779597E-2</v>
      </c>
      <c r="O80" s="83">
        <f t="shared" si="22"/>
        <v>0</v>
      </c>
      <c r="P80" s="83">
        <f t="shared" si="23"/>
        <v>0</v>
      </c>
      <c r="Q80" s="126"/>
      <c r="R80" s="126"/>
      <c r="S80" s="126"/>
    </row>
    <row r="81" spans="1:19" s="23" customFormat="1" ht="70.5" customHeight="1" x14ac:dyDescent="0.25">
      <c r="A81" s="31" t="s">
        <v>111</v>
      </c>
      <c r="B81" s="73">
        <v>906</v>
      </c>
      <c r="C81" s="73" t="s">
        <v>55</v>
      </c>
      <c r="D81" s="156">
        <v>22010.6</v>
      </c>
      <c r="E81" s="156">
        <v>1784.7</v>
      </c>
      <c r="F81" s="138"/>
      <c r="G81" s="138"/>
      <c r="H81" s="138"/>
      <c r="I81" s="138"/>
      <c r="J81" s="126"/>
      <c r="K81" s="83">
        <f t="shared" si="18"/>
        <v>1784.6432432432432</v>
      </c>
      <c r="L81" s="83">
        <f t="shared" si="19"/>
        <v>5.6756756756840332E-2</v>
      </c>
      <c r="M81" s="83">
        <f t="shared" si="20"/>
        <v>0</v>
      </c>
      <c r="N81" s="83">
        <f t="shared" si="21"/>
        <v>0</v>
      </c>
      <c r="O81" s="83">
        <f t="shared" si="22"/>
        <v>0</v>
      </c>
      <c r="P81" s="83">
        <f t="shared" si="23"/>
        <v>0</v>
      </c>
      <c r="Q81" s="126"/>
      <c r="R81" s="126"/>
      <c r="S81" s="126"/>
    </row>
    <row r="82" spans="1:19" s="23" customFormat="1" ht="70.5" customHeight="1" x14ac:dyDescent="0.25">
      <c r="A82" s="31" t="s">
        <v>112</v>
      </c>
      <c r="B82" s="73"/>
      <c r="C82" s="73"/>
      <c r="D82" s="156">
        <v>3461.2</v>
      </c>
      <c r="E82" s="156">
        <v>5.7</v>
      </c>
      <c r="F82" s="138"/>
      <c r="G82" s="138"/>
      <c r="H82" s="138"/>
      <c r="I82" s="138"/>
      <c r="J82" s="126"/>
      <c r="K82" s="83">
        <f t="shared" si="18"/>
        <v>280.63783783783782</v>
      </c>
      <c r="L82" s="83">
        <f t="shared" si="19"/>
        <v>-274.93783783783783</v>
      </c>
      <c r="M82" s="83">
        <f t="shared" si="20"/>
        <v>0</v>
      </c>
      <c r="N82" s="83">
        <f t="shared" si="21"/>
        <v>0</v>
      </c>
      <c r="O82" s="83">
        <f t="shared" si="22"/>
        <v>0</v>
      </c>
      <c r="P82" s="83">
        <f t="shared" si="23"/>
        <v>0</v>
      </c>
      <c r="Q82" s="126"/>
      <c r="R82" s="126"/>
      <c r="S82" s="126"/>
    </row>
    <row r="83" spans="1:19" s="23" customFormat="1" ht="105" hidden="1" customHeight="1" x14ac:dyDescent="0.25">
      <c r="A83" s="43"/>
      <c r="B83" s="73"/>
      <c r="C83" s="73"/>
      <c r="D83" s="138"/>
      <c r="E83" s="138"/>
      <c r="F83" s="138"/>
      <c r="G83" s="138"/>
      <c r="H83" s="138"/>
      <c r="I83" s="138"/>
      <c r="J83" s="126"/>
      <c r="K83" s="126"/>
      <c r="L83" s="126"/>
      <c r="M83" s="126"/>
      <c r="N83" s="126"/>
      <c r="O83" s="126"/>
      <c r="P83" s="126"/>
      <c r="Q83" s="126"/>
      <c r="R83" s="126"/>
      <c r="S83" s="126"/>
    </row>
    <row r="84" spans="1:19" s="16" customFormat="1" ht="14.25" customHeight="1" thickBot="1" x14ac:dyDescent="0.3">
      <c r="A84" s="21"/>
      <c r="B84" s="68"/>
      <c r="C84" s="68"/>
      <c r="D84" s="139"/>
      <c r="E84" s="139"/>
      <c r="F84" s="139"/>
      <c r="G84" s="139"/>
      <c r="H84" s="139"/>
      <c r="I84" s="139"/>
      <c r="J84" s="83"/>
      <c r="K84" s="83"/>
      <c r="L84" s="83"/>
      <c r="M84" s="83"/>
      <c r="N84" s="83"/>
      <c r="O84" s="83"/>
      <c r="P84" s="83"/>
      <c r="Q84" s="83"/>
      <c r="R84" s="83"/>
      <c r="S84" s="83"/>
    </row>
    <row r="85" spans="1:19" s="16" customFormat="1" ht="13.5" thickBot="1" x14ac:dyDescent="0.3">
      <c r="A85" s="23"/>
      <c r="B85" s="65"/>
      <c r="C85" s="65"/>
      <c r="D85" s="140"/>
      <c r="E85" s="140"/>
      <c r="F85" s="140"/>
      <c r="G85" s="140"/>
      <c r="H85" s="140"/>
      <c r="I85" s="140"/>
      <c r="J85" s="83"/>
      <c r="K85" s="83"/>
      <c r="L85" s="83"/>
      <c r="M85" s="83"/>
      <c r="N85" s="83"/>
      <c r="O85" s="83"/>
      <c r="P85" s="83"/>
      <c r="Q85" s="83"/>
      <c r="R85" s="83"/>
      <c r="S85" s="83"/>
    </row>
    <row r="86" spans="1:19" s="23" customFormat="1" ht="59.25" hidden="1" customHeight="1" x14ac:dyDescent="0.25">
      <c r="A86" s="12" t="s">
        <v>19</v>
      </c>
      <c r="B86" s="66"/>
      <c r="C86" s="66"/>
      <c r="D86" s="136">
        <f t="shared" ref="D86:I86" si="24">SUM(D87:D88)</f>
        <v>0</v>
      </c>
      <c r="E86" s="136">
        <f t="shared" si="24"/>
        <v>0</v>
      </c>
      <c r="F86" s="136">
        <f>SUM(F87:F88)</f>
        <v>0</v>
      </c>
      <c r="G86" s="136">
        <f>SUM(G87:G88)</f>
        <v>0</v>
      </c>
      <c r="H86" s="136">
        <f t="shared" si="24"/>
        <v>0</v>
      </c>
      <c r="I86" s="136">
        <f t="shared" si="24"/>
        <v>0</v>
      </c>
      <c r="J86" s="126"/>
      <c r="K86" s="126"/>
      <c r="L86" s="126"/>
      <c r="M86" s="126"/>
      <c r="N86" s="126"/>
      <c r="O86" s="126"/>
      <c r="P86" s="126"/>
      <c r="Q86" s="126"/>
      <c r="R86" s="126"/>
      <c r="S86" s="126"/>
    </row>
    <row r="87" spans="1:19" s="16" customFormat="1" ht="33.75" hidden="1" customHeight="1" x14ac:dyDescent="0.25">
      <c r="A87" s="27"/>
      <c r="B87" s="71"/>
      <c r="C87" s="71"/>
      <c r="D87" s="154"/>
      <c r="E87" s="154"/>
      <c r="F87" s="154"/>
      <c r="G87" s="154"/>
      <c r="H87" s="154"/>
      <c r="I87" s="154"/>
      <c r="J87" s="83"/>
      <c r="K87" s="83"/>
      <c r="L87" s="83"/>
      <c r="M87" s="83"/>
      <c r="N87" s="83"/>
      <c r="O87" s="83"/>
      <c r="P87" s="83"/>
      <c r="Q87" s="83"/>
      <c r="R87" s="83"/>
      <c r="S87" s="83"/>
    </row>
    <row r="88" spans="1:19" s="16" customFormat="1" ht="13.5" hidden="1" thickBot="1" x14ac:dyDescent="0.3">
      <c r="A88" s="21"/>
      <c r="B88" s="68"/>
      <c r="C88" s="68"/>
      <c r="D88" s="139"/>
      <c r="E88" s="139"/>
      <c r="F88" s="139"/>
      <c r="G88" s="139"/>
      <c r="H88" s="139"/>
      <c r="I88" s="139"/>
      <c r="J88" s="83"/>
      <c r="K88" s="83"/>
      <c r="L88" s="83"/>
      <c r="M88" s="83"/>
      <c r="N88" s="83"/>
      <c r="O88" s="83"/>
      <c r="P88" s="83"/>
      <c r="Q88" s="83"/>
      <c r="R88" s="83"/>
      <c r="S88" s="83"/>
    </row>
    <row r="89" spans="1:19" s="16" customFormat="1" ht="13.5" hidden="1" thickBot="1" x14ac:dyDescent="0.3">
      <c r="A89" s="23"/>
      <c r="B89" s="65"/>
      <c r="C89" s="65"/>
      <c r="D89" s="140"/>
      <c r="E89" s="140"/>
      <c r="F89" s="140"/>
      <c r="G89" s="140"/>
      <c r="H89" s="140"/>
      <c r="I89" s="140"/>
      <c r="J89" s="83"/>
      <c r="K89" s="83"/>
      <c r="L89" s="83"/>
      <c r="M89" s="83"/>
      <c r="N89" s="83"/>
      <c r="O89" s="83"/>
      <c r="P89" s="83"/>
      <c r="Q89" s="83"/>
      <c r="R89" s="83"/>
      <c r="S89" s="83"/>
    </row>
    <row r="90" spans="1:19" s="16" customFormat="1" ht="57.75" customHeight="1" x14ac:dyDescent="0.25">
      <c r="A90" s="12" t="s">
        <v>20</v>
      </c>
      <c r="B90" s="66"/>
      <c r="C90" s="66"/>
      <c r="D90" s="136">
        <f t="shared" ref="D90:I90" si="25">SUM(D91:D93)</f>
        <v>464.29999999999995</v>
      </c>
      <c r="E90" s="136">
        <f t="shared" si="25"/>
        <v>37.700000000000003</v>
      </c>
      <c r="F90" s="136">
        <f t="shared" si="25"/>
        <v>463.3</v>
      </c>
      <c r="G90" s="136">
        <f t="shared" si="25"/>
        <v>37.6</v>
      </c>
      <c r="H90" s="136">
        <f t="shared" si="25"/>
        <v>463.3</v>
      </c>
      <c r="I90" s="136">
        <f t="shared" si="25"/>
        <v>37.6</v>
      </c>
      <c r="J90" s="83"/>
      <c r="K90" s="83"/>
      <c r="L90" s="83"/>
      <c r="M90" s="83"/>
      <c r="N90" s="83"/>
      <c r="O90" s="83"/>
      <c r="P90" s="83"/>
      <c r="Q90" s="83"/>
      <c r="R90" s="83"/>
      <c r="S90" s="83"/>
    </row>
    <row r="91" spans="1:19" s="16" customFormat="1" ht="75" customHeight="1" x14ac:dyDescent="0.25">
      <c r="A91" s="27" t="s">
        <v>21</v>
      </c>
      <c r="B91" s="71">
        <v>913</v>
      </c>
      <c r="C91" s="71" t="s">
        <v>57</v>
      </c>
      <c r="D91" s="137">
        <f>450.4+13.9</f>
        <v>464.29999999999995</v>
      </c>
      <c r="E91" s="137">
        <v>37.700000000000003</v>
      </c>
      <c r="F91" s="137">
        <f>449.5+13.8</f>
        <v>463.3</v>
      </c>
      <c r="G91" s="137">
        <v>37.6</v>
      </c>
      <c r="H91" s="137">
        <f>449.5+13.8</f>
        <v>463.3</v>
      </c>
      <c r="I91" s="137">
        <v>37.6</v>
      </c>
      <c r="J91" s="83"/>
      <c r="K91" s="83">
        <f>D91*7.5/92.5</f>
        <v>37.64594594594594</v>
      </c>
      <c r="L91" s="83">
        <f>E91-K91</f>
        <v>5.4054054054063272E-2</v>
      </c>
      <c r="M91" s="83">
        <f>F91*7.5/92.5</f>
        <v>37.564864864864866</v>
      </c>
      <c r="N91" s="83">
        <f>G91-M91</f>
        <v>3.5135135135135442E-2</v>
      </c>
      <c r="O91" s="83">
        <f>H91*7.5/92.5</f>
        <v>37.564864864864866</v>
      </c>
      <c r="P91" s="83">
        <f>I91-O91</f>
        <v>3.5135135135135442E-2</v>
      </c>
      <c r="Q91" s="83"/>
      <c r="R91" s="83"/>
      <c r="S91" s="83"/>
    </row>
    <row r="92" spans="1:19" s="16" customFormat="1" ht="75" hidden="1" customHeight="1" x14ac:dyDescent="0.25">
      <c r="A92" s="31" t="s">
        <v>22</v>
      </c>
      <c r="B92" s="73">
        <v>913</v>
      </c>
      <c r="C92" s="73" t="s">
        <v>58</v>
      </c>
      <c r="D92" s="138"/>
      <c r="E92" s="138"/>
      <c r="F92" s="138"/>
      <c r="G92" s="138"/>
      <c r="H92" s="138"/>
      <c r="I92" s="138"/>
      <c r="J92" s="83"/>
      <c r="K92" s="83"/>
      <c r="L92" s="83"/>
      <c r="M92" s="83"/>
      <c r="N92" s="83"/>
      <c r="O92" s="83"/>
      <c r="P92" s="83"/>
      <c r="Q92" s="83"/>
      <c r="R92" s="83"/>
      <c r="S92" s="83"/>
    </row>
    <row r="93" spans="1:19" s="16" customFormat="1" ht="15.75" customHeight="1" thickBot="1" x14ac:dyDescent="0.3">
      <c r="A93" s="32"/>
      <c r="B93" s="74"/>
      <c r="C93" s="74"/>
      <c r="D93" s="164"/>
      <c r="E93" s="164"/>
      <c r="F93" s="164"/>
      <c r="G93" s="164"/>
      <c r="H93" s="164"/>
      <c r="I93" s="164"/>
      <c r="J93" s="83"/>
      <c r="K93" s="83"/>
      <c r="L93" s="83"/>
      <c r="M93" s="83"/>
      <c r="N93" s="83"/>
      <c r="O93" s="83"/>
      <c r="P93" s="83"/>
      <c r="Q93" s="83"/>
      <c r="R93" s="83"/>
      <c r="S93" s="83"/>
    </row>
    <row r="94" spans="1:19" s="16" customFormat="1" ht="15.75" customHeight="1" thickBot="1" x14ac:dyDescent="0.3">
      <c r="A94" s="14"/>
      <c r="B94" s="63"/>
      <c r="C94" s="63"/>
      <c r="D94" s="135"/>
      <c r="E94" s="135"/>
      <c r="F94" s="135"/>
      <c r="G94" s="135"/>
      <c r="H94" s="135"/>
      <c r="I94" s="135"/>
      <c r="J94" s="83"/>
      <c r="K94" s="83"/>
      <c r="L94" s="83"/>
      <c r="M94" s="83"/>
      <c r="N94" s="83"/>
      <c r="O94" s="83"/>
      <c r="P94" s="83"/>
      <c r="Q94" s="83"/>
      <c r="R94" s="83"/>
      <c r="S94" s="83"/>
    </row>
    <row r="95" spans="1:19" s="37" customFormat="1" ht="21" customHeight="1" thickBot="1" x14ac:dyDescent="0.3">
      <c r="A95" s="34" t="s">
        <v>23</v>
      </c>
      <c r="B95" s="75"/>
      <c r="C95" s="75"/>
      <c r="D95" s="165">
        <f t="shared" ref="D95:I95" si="26">SUM(D14,D19,D33,D75,D86,D90)</f>
        <v>376234.7</v>
      </c>
      <c r="E95" s="165">
        <f t="shared" si="26"/>
        <v>26368.800000000003</v>
      </c>
      <c r="F95" s="165">
        <f t="shared" si="26"/>
        <v>332852.10000000003</v>
      </c>
      <c r="G95" s="165">
        <f t="shared" si="26"/>
        <v>9740.7999999999993</v>
      </c>
      <c r="H95" s="165">
        <f t="shared" si="26"/>
        <v>408493.7</v>
      </c>
      <c r="I95" s="165">
        <f t="shared" si="26"/>
        <v>22525.1</v>
      </c>
      <c r="J95" s="127"/>
      <c r="K95" s="127"/>
      <c r="L95" s="127"/>
      <c r="M95" s="127"/>
      <c r="N95" s="127"/>
      <c r="O95" s="127"/>
      <c r="P95" s="127"/>
      <c r="Q95" s="127"/>
      <c r="R95" s="127"/>
      <c r="S95" s="127"/>
    </row>
    <row r="96" spans="1:19" s="37" customFormat="1" ht="21" customHeight="1" x14ac:dyDescent="0.25">
      <c r="A96" s="38"/>
      <c r="B96" s="76"/>
      <c r="C96" s="76"/>
      <c r="D96" s="166"/>
      <c r="E96" s="166"/>
      <c r="F96" s="166"/>
      <c r="G96" s="166"/>
      <c r="H96" s="166"/>
      <c r="I96" s="166"/>
      <c r="J96" s="127"/>
      <c r="K96" s="127"/>
      <c r="L96" s="127"/>
      <c r="M96" s="127"/>
      <c r="N96" s="127"/>
      <c r="O96" s="127"/>
      <c r="P96" s="127"/>
      <c r="Q96" s="127"/>
      <c r="R96" s="127"/>
      <c r="S96" s="127"/>
    </row>
    <row r="97" spans="1:19" s="37" customFormat="1" ht="39" hidden="1" customHeight="1" x14ac:dyDescent="0.25">
      <c r="A97" s="12" t="s">
        <v>24</v>
      </c>
      <c r="B97" s="66"/>
      <c r="C97" s="66"/>
      <c r="D97" s="136">
        <f t="shared" ref="D97:I97" si="27">SUM(D98:D102)</f>
        <v>0</v>
      </c>
      <c r="E97" s="136">
        <f t="shared" si="27"/>
        <v>0</v>
      </c>
      <c r="F97" s="136">
        <f t="shared" si="27"/>
        <v>0</v>
      </c>
      <c r="G97" s="136">
        <f t="shared" si="27"/>
        <v>0</v>
      </c>
      <c r="H97" s="136">
        <f t="shared" si="27"/>
        <v>0</v>
      </c>
      <c r="I97" s="136">
        <f t="shared" si="27"/>
        <v>0</v>
      </c>
      <c r="J97" s="127"/>
      <c r="K97" s="127"/>
      <c r="L97" s="127"/>
      <c r="M97" s="127"/>
      <c r="N97" s="127"/>
      <c r="O97" s="127"/>
      <c r="P97" s="127"/>
      <c r="Q97" s="127"/>
      <c r="R97" s="127"/>
      <c r="S97" s="127"/>
    </row>
    <row r="98" spans="1:19" s="23" customFormat="1" ht="93" hidden="1" customHeight="1" x14ac:dyDescent="0.25">
      <c r="A98" s="43" t="s">
        <v>82</v>
      </c>
      <c r="B98" s="73">
        <v>904</v>
      </c>
      <c r="C98" s="73" t="s">
        <v>55</v>
      </c>
      <c r="D98" s="138">
        <f>29951.4-29951.4</f>
        <v>0</v>
      </c>
      <c r="E98" s="138"/>
      <c r="F98" s="138"/>
      <c r="G98" s="138"/>
      <c r="H98" s="138"/>
      <c r="I98" s="138"/>
      <c r="J98" s="126"/>
      <c r="K98" s="126"/>
      <c r="L98" s="126"/>
      <c r="M98" s="126"/>
      <c r="N98" s="126"/>
      <c r="O98" s="126"/>
      <c r="P98" s="126"/>
      <c r="Q98" s="126"/>
      <c r="R98" s="126"/>
      <c r="S98" s="126"/>
    </row>
    <row r="99" spans="1:19" s="23" customFormat="1" ht="99.75" hidden="1" customHeight="1" x14ac:dyDescent="0.25">
      <c r="A99" s="43" t="s">
        <v>25</v>
      </c>
      <c r="B99" s="73"/>
      <c r="C99" s="73"/>
      <c r="D99" s="138"/>
      <c r="E99" s="138"/>
      <c r="F99" s="138"/>
      <c r="G99" s="138"/>
      <c r="H99" s="138"/>
      <c r="I99" s="138"/>
      <c r="J99" s="126"/>
      <c r="K99" s="126"/>
      <c r="L99" s="126"/>
      <c r="M99" s="126"/>
      <c r="N99" s="126"/>
      <c r="O99" s="126"/>
      <c r="P99" s="126"/>
      <c r="Q99" s="126"/>
      <c r="R99" s="126"/>
      <c r="S99" s="126"/>
    </row>
    <row r="100" spans="1:19" s="23" customFormat="1" ht="99.75" hidden="1" customHeight="1" x14ac:dyDescent="0.25">
      <c r="A100" s="43"/>
      <c r="B100" s="73"/>
      <c r="C100" s="73"/>
      <c r="D100" s="138"/>
      <c r="E100" s="138"/>
      <c r="F100" s="138"/>
      <c r="G100" s="138"/>
      <c r="H100" s="138"/>
      <c r="I100" s="138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</row>
    <row r="101" spans="1:19" s="23" customFormat="1" ht="75.75" hidden="1" customHeight="1" x14ac:dyDescent="0.25">
      <c r="A101" s="43"/>
      <c r="B101" s="73"/>
      <c r="C101" s="73"/>
      <c r="D101" s="138"/>
      <c r="E101" s="138"/>
      <c r="F101" s="138"/>
      <c r="G101" s="138"/>
      <c r="H101" s="138"/>
      <c r="I101" s="138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</row>
    <row r="102" spans="1:19" s="37" customFormat="1" ht="13.5" hidden="1" thickBot="1" x14ac:dyDescent="0.3">
      <c r="A102" s="21"/>
      <c r="B102" s="68"/>
      <c r="C102" s="68"/>
      <c r="D102" s="139"/>
      <c r="E102" s="139"/>
      <c r="F102" s="139"/>
      <c r="G102" s="139"/>
      <c r="H102" s="139"/>
      <c r="I102" s="139"/>
      <c r="J102" s="127"/>
      <c r="K102" s="127"/>
      <c r="L102" s="127"/>
      <c r="M102" s="127"/>
      <c r="N102" s="127"/>
      <c r="O102" s="127"/>
      <c r="P102" s="127"/>
      <c r="Q102" s="127"/>
      <c r="R102" s="127"/>
      <c r="S102" s="127"/>
    </row>
    <row r="103" spans="1:19" s="37" customFormat="1" ht="13.5" hidden="1" customHeight="1" x14ac:dyDescent="0.25">
      <c r="A103" s="40"/>
      <c r="B103" s="76"/>
      <c r="C103" s="76"/>
      <c r="D103" s="167"/>
      <c r="E103" s="167"/>
      <c r="F103" s="167"/>
      <c r="G103" s="167"/>
      <c r="H103" s="167"/>
      <c r="I103" s="16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</row>
    <row r="104" spans="1:19" s="37" customFormat="1" ht="30.75" hidden="1" customHeight="1" x14ac:dyDescent="0.25">
      <c r="A104" s="12" t="s">
        <v>26</v>
      </c>
      <c r="B104" s="66"/>
      <c r="C104" s="66"/>
      <c r="D104" s="136">
        <f t="shared" ref="D104:I104" si="28">SUM(D105:D108)</f>
        <v>0</v>
      </c>
      <c r="E104" s="136">
        <f t="shared" si="28"/>
        <v>0</v>
      </c>
      <c r="F104" s="136">
        <f t="shared" si="28"/>
        <v>0</v>
      </c>
      <c r="G104" s="136">
        <f t="shared" si="28"/>
        <v>0</v>
      </c>
      <c r="H104" s="136">
        <f t="shared" si="28"/>
        <v>0</v>
      </c>
      <c r="I104" s="136">
        <f t="shared" si="28"/>
        <v>0</v>
      </c>
      <c r="J104" s="127"/>
      <c r="K104" s="127"/>
      <c r="L104" s="127"/>
      <c r="M104" s="127"/>
      <c r="N104" s="127"/>
      <c r="O104" s="127"/>
      <c r="P104" s="127"/>
      <c r="Q104" s="127"/>
      <c r="R104" s="127"/>
      <c r="S104" s="127"/>
    </row>
    <row r="105" spans="1:19" s="23" customFormat="1" ht="120" hidden="1" customHeight="1" x14ac:dyDescent="0.25">
      <c r="A105" s="43" t="s">
        <v>27</v>
      </c>
      <c r="B105" s="73"/>
      <c r="C105" s="73"/>
      <c r="D105" s="138">
        <v>0</v>
      </c>
      <c r="E105" s="138"/>
      <c r="F105" s="138"/>
      <c r="G105" s="138"/>
      <c r="H105" s="138"/>
      <c r="I105" s="138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</row>
    <row r="106" spans="1:19" s="23" customFormat="1" ht="72.75" hidden="1" customHeight="1" x14ac:dyDescent="0.25">
      <c r="A106" s="43" t="s">
        <v>70</v>
      </c>
      <c r="B106" s="73"/>
      <c r="C106" s="73"/>
      <c r="D106" s="138"/>
      <c r="E106" s="138"/>
      <c r="F106" s="138"/>
      <c r="G106" s="138"/>
      <c r="H106" s="138"/>
      <c r="I106" s="138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</row>
    <row r="107" spans="1:19" s="23" customFormat="1" ht="72.75" hidden="1" customHeight="1" x14ac:dyDescent="0.25">
      <c r="A107" s="43" t="s">
        <v>62</v>
      </c>
      <c r="B107" s="73"/>
      <c r="C107" s="73"/>
      <c r="D107" s="138"/>
      <c r="E107" s="138"/>
      <c r="F107" s="138"/>
      <c r="G107" s="138"/>
      <c r="H107" s="138"/>
      <c r="I107" s="138"/>
      <c r="J107" s="126"/>
      <c r="K107" s="126"/>
      <c r="L107" s="126"/>
      <c r="M107" s="126"/>
      <c r="N107" s="126"/>
      <c r="O107" s="126"/>
      <c r="P107" s="126"/>
      <c r="Q107" s="126"/>
      <c r="R107" s="126"/>
      <c r="S107" s="126"/>
    </row>
    <row r="108" spans="1:19" s="37" customFormat="1" ht="15" hidden="1" customHeight="1" thickBot="1" x14ac:dyDescent="0.3">
      <c r="A108" s="21"/>
      <c r="B108" s="68"/>
      <c r="C108" s="68"/>
      <c r="D108" s="168"/>
      <c r="E108" s="168"/>
      <c r="F108" s="168"/>
      <c r="G108" s="168"/>
      <c r="H108" s="168"/>
      <c r="I108" s="168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</row>
    <row r="109" spans="1:19" s="37" customFormat="1" ht="15.75" hidden="1" customHeight="1" x14ac:dyDescent="0.25">
      <c r="A109" s="23"/>
      <c r="B109" s="65"/>
      <c r="C109" s="65"/>
      <c r="D109" s="167"/>
      <c r="E109" s="167"/>
      <c r="F109" s="167"/>
      <c r="G109" s="167"/>
      <c r="H109" s="167"/>
      <c r="I109" s="16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</row>
    <row r="110" spans="1:19" s="37" customFormat="1" ht="31.5" hidden="1" customHeight="1" thickBot="1" x14ac:dyDescent="0.3">
      <c r="A110" s="114" t="s">
        <v>28</v>
      </c>
      <c r="B110" s="111"/>
      <c r="C110" s="111"/>
      <c r="D110" s="169"/>
      <c r="E110" s="169"/>
      <c r="F110" s="169"/>
      <c r="G110" s="169"/>
      <c r="H110" s="169"/>
      <c r="I110" s="170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</row>
    <row r="111" spans="1:19" s="37" customFormat="1" ht="33.75" hidden="1" customHeight="1" x14ac:dyDescent="0.25">
      <c r="A111" s="107"/>
      <c r="B111" s="108"/>
      <c r="C111" s="108"/>
      <c r="D111" s="171"/>
      <c r="E111" s="171"/>
      <c r="F111" s="171"/>
      <c r="G111" s="171"/>
      <c r="H111" s="171"/>
      <c r="I111" s="172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</row>
    <row r="112" spans="1:19" s="37" customFormat="1" ht="15" hidden="1" customHeight="1" thickBot="1" x14ac:dyDescent="0.3">
      <c r="A112" s="103"/>
      <c r="B112" s="104"/>
      <c r="C112" s="104"/>
      <c r="D112" s="173"/>
      <c r="E112" s="173"/>
      <c r="F112" s="173"/>
      <c r="G112" s="173"/>
      <c r="H112" s="173"/>
      <c r="I112" s="174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</row>
    <row r="113" spans="1:19" s="37" customFormat="1" ht="13.5" customHeight="1" thickBot="1" x14ac:dyDescent="0.3">
      <c r="A113" s="38"/>
      <c r="B113" s="76"/>
      <c r="C113" s="76"/>
      <c r="D113" s="166"/>
      <c r="E113" s="166"/>
      <c r="F113" s="166"/>
      <c r="G113" s="166"/>
      <c r="H113" s="166"/>
      <c r="I113" s="166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</row>
    <row r="114" spans="1:19" s="14" customFormat="1" ht="33.75" hidden="1" customHeight="1" x14ac:dyDescent="0.25">
      <c r="A114" s="42" t="s">
        <v>28</v>
      </c>
      <c r="B114" s="66"/>
      <c r="C114" s="66"/>
      <c r="D114" s="136">
        <f t="shared" ref="D114:I114" si="29">SUM(D115:D117)</f>
        <v>0</v>
      </c>
      <c r="E114" s="136">
        <f t="shared" si="29"/>
        <v>0</v>
      </c>
      <c r="F114" s="136"/>
      <c r="G114" s="136">
        <f t="shared" si="29"/>
        <v>0</v>
      </c>
      <c r="H114" s="136">
        <f t="shared" si="29"/>
        <v>0</v>
      </c>
      <c r="I114" s="136">
        <f t="shared" si="29"/>
        <v>0</v>
      </c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</row>
    <row r="115" spans="1:19" s="23" customFormat="1" ht="57" hidden="1" customHeight="1" x14ac:dyDescent="0.25">
      <c r="B115" s="73"/>
      <c r="C115" s="73"/>
      <c r="D115" s="138"/>
      <c r="E115" s="138"/>
      <c r="F115" s="175"/>
      <c r="G115" s="138"/>
      <c r="H115" s="138"/>
      <c r="I115" s="138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</row>
    <row r="116" spans="1:19" s="23" customFormat="1" ht="60.75" hidden="1" customHeight="1" x14ac:dyDescent="0.25">
      <c r="B116" s="73"/>
      <c r="C116" s="73"/>
      <c r="D116" s="138"/>
      <c r="E116" s="138"/>
      <c r="F116" s="175"/>
      <c r="G116" s="138"/>
      <c r="H116" s="138"/>
      <c r="I116" s="138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</row>
    <row r="117" spans="1:19" s="18" customFormat="1" ht="12" hidden="1" customHeight="1" thickBot="1" x14ac:dyDescent="0.3">
      <c r="A117" s="44"/>
      <c r="B117" s="77"/>
      <c r="C117" s="77"/>
      <c r="D117" s="176"/>
      <c r="E117" s="176"/>
      <c r="F117" s="176"/>
      <c r="G117" s="176"/>
      <c r="H117" s="176"/>
      <c r="I117" s="176"/>
      <c r="J117" s="125"/>
      <c r="K117" s="125"/>
      <c r="L117" s="125"/>
      <c r="M117" s="125"/>
      <c r="N117" s="125"/>
      <c r="O117" s="125"/>
      <c r="P117" s="125"/>
      <c r="Q117" s="125"/>
      <c r="R117" s="125"/>
      <c r="S117" s="125"/>
    </row>
    <row r="118" spans="1:19" s="18" customFormat="1" ht="13.5" hidden="1" thickBot="1" x14ac:dyDescent="0.3">
      <c r="A118" s="46"/>
      <c r="B118" s="78"/>
      <c r="C118" s="78"/>
      <c r="D118" s="177"/>
      <c r="E118" s="177"/>
      <c r="F118" s="177"/>
      <c r="G118" s="177"/>
      <c r="H118" s="177"/>
      <c r="I118" s="177"/>
      <c r="J118" s="125"/>
      <c r="K118" s="125"/>
      <c r="L118" s="125"/>
      <c r="M118" s="125"/>
      <c r="N118" s="125"/>
      <c r="O118" s="125"/>
      <c r="P118" s="125"/>
      <c r="Q118" s="125"/>
      <c r="R118" s="125"/>
      <c r="S118" s="125"/>
    </row>
    <row r="119" spans="1:19" s="14" customFormat="1" ht="30.75" customHeight="1" x14ac:dyDescent="0.25">
      <c r="A119" s="42" t="s">
        <v>29</v>
      </c>
      <c r="B119" s="66"/>
      <c r="C119" s="66"/>
      <c r="D119" s="136">
        <f t="shared" ref="D119:I119" si="30">SUM(D120:D126)</f>
        <v>16877</v>
      </c>
      <c r="E119" s="136">
        <f t="shared" si="30"/>
        <v>1361</v>
      </c>
      <c r="F119" s="136">
        <f t="shared" si="30"/>
        <v>91.5</v>
      </c>
      <c r="G119" s="136">
        <f t="shared" si="30"/>
        <v>0</v>
      </c>
      <c r="H119" s="136">
        <f t="shared" si="30"/>
        <v>29628.523000000001</v>
      </c>
      <c r="I119" s="136">
        <f t="shared" si="30"/>
        <v>0</v>
      </c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</row>
    <row r="120" spans="1:19" s="23" customFormat="1" ht="56.25" customHeight="1" x14ac:dyDescent="0.25">
      <c r="A120" s="28" t="s">
        <v>15</v>
      </c>
      <c r="B120" s="67">
        <v>904</v>
      </c>
      <c r="C120" s="67" t="s">
        <v>53</v>
      </c>
      <c r="D120" s="143">
        <v>91.5</v>
      </c>
      <c r="E120" s="143"/>
      <c r="F120" s="143">
        <v>91.5</v>
      </c>
      <c r="G120" s="143"/>
      <c r="H120" s="143">
        <v>91.5</v>
      </c>
      <c r="I120" s="143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</row>
    <row r="121" spans="1:19" s="16" customFormat="1" ht="61.5" hidden="1" customHeight="1" x14ac:dyDescent="0.25">
      <c r="A121" s="43" t="s">
        <v>71</v>
      </c>
      <c r="B121" s="73"/>
      <c r="C121" s="73"/>
      <c r="D121" s="138"/>
      <c r="E121" s="138"/>
      <c r="F121" s="138"/>
      <c r="G121" s="138"/>
      <c r="H121" s="138"/>
      <c r="I121" s="138"/>
      <c r="J121" s="83"/>
      <c r="K121" s="83"/>
      <c r="L121" s="83"/>
      <c r="M121" s="83"/>
      <c r="N121" s="83"/>
      <c r="O121" s="83"/>
      <c r="P121" s="83"/>
      <c r="Q121" s="83"/>
      <c r="R121" s="83"/>
      <c r="S121" s="83"/>
    </row>
    <row r="122" spans="1:19" s="16" customFormat="1" ht="63.75" hidden="1" customHeight="1" x14ac:dyDescent="0.25">
      <c r="A122" s="43" t="s">
        <v>72</v>
      </c>
      <c r="B122" s="73"/>
      <c r="C122" s="73"/>
      <c r="D122" s="138"/>
      <c r="E122" s="138"/>
      <c r="F122" s="138"/>
      <c r="G122" s="138"/>
      <c r="H122" s="138"/>
      <c r="I122" s="138"/>
      <c r="J122" s="83"/>
      <c r="K122" s="83"/>
      <c r="L122" s="83"/>
      <c r="M122" s="83"/>
      <c r="N122" s="83"/>
      <c r="O122" s="83"/>
      <c r="P122" s="83"/>
      <c r="Q122" s="83"/>
      <c r="R122" s="83"/>
      <c r="S122" s="83"/>
    </row>
    <row r="123" spans="1:19" s="16" customFormat="1" ht="89.25" hidden="1" customHeight="1" x14ac:dyDescent="0.25">
      <c r="A123" s="88" t="s">
        <v>61</v>
      </c>
      <c r="B123" s="73"/>
      <c r="C123" s="73"/>
      <c r="D123" s="138"/>
      <c r="E123" s="138"/>
      <c r="F123" s="138"/>
      <c r="G123" s="138"/>
      <c r="H123" s="138"/>
      <c r="I123" s="138"/>
      <c r="J123" s="83"/>
      <c r="K123" s="83"/>
      <c r="L123" s="83"/>
      <c r="M123" s="83"/>
      <c r="N123" s="83"/>
      <c r="O123" s="83"/>
      <c r="P123" s="83"/>
      <c r="Q123" s="83"/>
      <c r="R123" s="83"/>
      <c r="S123" s="83"/>
    </row>
    <row r="124" spans="1:19" s="16" customFormat="1" ht="82.5" customHeight="1" x14ac:dyDescent="0.25">
      <c r="A124" s="88" t="s">
        <v>119</v>
      </c>
      <c r="B124" s="73"/>
      <c r="C124" s="73"/>
      <c r="D124" s="156">
        <v>16785.5</v>
      </c>
      <c r="E124" s="138">
        <f>1361</f>
        <v>1361</v>
      </c>
      <c r="F124" s="138"/>
      <c r="G124" s="138"/>
      <c r="H124" s="138"/>
      <c r="I124" s="138"/>
      <c r="J124" s="83"/>
      <c r="K124" s="83"/>
      <c r="L124" s="83"/>
      <c r="M124" s="83"/>
      <c r="N124" s="83"/>
      <c r="O124" s="83"/>
      <c r="P124" s="83"/>
      <c r="Q124" s="83"/>
      <c r="R124" s="83"/>
      <c r="S124" s="83"/>
    </row>
    <row r="125" spans="1:19" s="16" customFormat="1" ht="82.5" customHeight="1" x14ac:dyDescent="0.25">
      <c r="A125" s="88" t="s">
        <v>124</v>
      </c>
      <c r="B125" s="73"/>
      <c r="C125" s="73"/>
      <c r="D125" s="138"/>
      <c r="E125" s="138"/>
      <c r="F125" s="138"/>
      <c r="G125" s="138"/>
      <c r="H125" s="130">
        <v>29537.023000000001</v>
      </c>
      <c r="I125" s="138"/>
      <c r="J125" s="83"/>
      <c r="K125" s="83"/>
      <c r="L125" s="83"/>
      <c r="M125" s="83"/>
      <c r="N125" s="83"/>
      <c r="O125" s="83"/>
      <c r="P125" s="83"/>
      <c r="Q125" s="83"/>
      <c r="R125" s="83"/>
      <c r="S125" s="83"/>
    </row>
    <row r="126" spans="1:19" s="16" customFormat="1" ht="13.5" thickBot="1" x14ac:dyDescent="0.3">
      <c r="A126" s="47"/>
      <c r="B126" s="68"/>
      <c r="C126" s="68"/>
      <c r="D126" s="139"/>
      <c r="E126" s="139"/>
      <c r="F126" s="139"/>
      <c r="G126" s="139"/>
      <c r="H126" s="139"/>
      <c r="I126" s="139"/>
      <c r="J126" s="83"/>
      <c r="K126" s="83"/>
      <c r="L126" s="83"/>
      <c r="M126" s="83"/>
      <c r="N126" s="83"/>
      <c r="O126" s="83"/>
      <c r="P126" s="83"/>
      <c r="Q126" s="83"/>
      <c r="R126" s="83"/>
      <c r="S126" s="83"/>
    </row>
    <row r="127" spans="1:19" s="16" customFormat="1" x14ac:dyDescent="0.25">
      <c r="A127" s="48"/>
      <c r="B127" s="65"/>
      <c r="C127" s="65"/>
      <c r="D127" s="140"/>
      <c r="E127" s="140"/>
      <c r="F127" s="140"/>
      <c r="G127" s="140"/>
      <c r="H127" s="140"/>
      <c r="I127" s="140"/>
      <c r="J127" s="83"/>
      <c r="K127" s="83"/>
      <c r="L127" s="83"/>
      <c r="M127" s="83"/>
      <c r="N127" s="83"/>
      <c r="O127" s="83"/>
      <c r="P127" s="83"/>
      <c r="Q127" s="83"/>
      <c r="R127" s="83"/>
      <c r="S127" s="83"/>
    </row>
    <row r="128" spans="1:19" s="14" customFormat="1" ht="21" hidden="1" customHeight="1" x14ac:dyDescent="0.25">
      <c r="A128" s="42" t="s">
        <v>30</v>
      </c>
      <c r="B128" s="66"/>
      <c r="C128" s="66"/>
      <c r="D128" s="136">
        <f t="shared" ref="D128:I128" si="31">SUM(D129:D130)</f>
        <v>0</v>
      </c>
      <c r="E128" s="136">
        <f t="shared" si="31"/>
        <v>0</v>
      </c>
      <c r="F128" s="136">
        <f t="shared" si="31"/>
        <v>0</v>
      </c>
      <c r="G128" s="136">
        <f t="shared" si="31"/>
        <v>0</v>
      </c>
      <c r="H128" s="136">
        <f t="shared" si="31"/>
        <v>0</v>
      </c>
      <c r="I128" s="136">
        <f t="shared" si="31"/>
        <v>0</v>
      </c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</row>
    <row r="129" spans="1:19" s="23" customFormat="1" ht="100.5" hidden="1" customHeight="1" x14ac:dyDescent="0.25">
      <c r="A129" s="31"/>
      <c r="B129" s="73"/>
      <c r="C129" s="73"/>
      <c r="D129" s="138"/>
      <c r="E129" s="138"/>
      <c r="F129" s="138"/>
      <c r="G129" s="138"/>
      <c r="H129" s="138"/>
      <c r="I129" s="138"/>
      <c r="J129" s="126"/>
      <c r="K129" s="126"/>
      <c r="L129" s="126"/>
      <c r="M129" s="126"/>
      <c r="N129" s="126"/>
      <c r="O129" s="126"/>
      <c r="P129" s="126"/>
      <c r="Q129" s="126"/>
      <c r="R129" s="126"/>
      <c r="S129" s="126"/>
    </row>
    <row r="130" spans="1:19" s="16" customFormat="1" ht="13.5" hidden="1" thickBot="1" x14ac:dyDescent="0.3">
      <c r="A130" s="47"/>
      <c r="B130" s="68"/>
      <c r="C130" s="68"/>
      <c r="D130" s="139"/>
      <c r="E130" s="139"/>
      <c r="F130" s="139"/>
      <c r="G130" s="139"/>
      <c r="H130" s="139"/>
      <c r="I130" s="139"/>
      <c r="J130" s="83"/>
      <c r="K130" s="83"/>
      <c r="L130" s="83"/>
      <c r="M130" s="83"/>
      <c r="N130" s="83"/>
      <c r="O130" s="83"/>
      <c r="P130" s="83"/>
      <c r="Q130" s="83"/>
      <c r="R130" s="83"/>
      <c r="S130" s="83"/>
    </row>
    <row r="131" spans="1:19" s="16" customFormat="1" hidden="1" x14ac:dyDescent="0.25">
      <c r="A131" s="48"/>
      <c r="B131" s="65"/>
      <c r="C131" s="65"/>
      <c r="D131" s="140"/>
      <c r="E131" s="140"/>
      <c r="F131" s="140"/>
      <c r="G131" s="140"/>
      <c r="H131" s="140"/>
      <c r="I131" s="140"/>
      <c r="J131" s="83"/>
      <c r="K131" s="83"/>
      <c r="L131" s="83"/>
      <c r="M131" s="83"/>
      <c r="N131" s="83"/>
      <c r="O131" s="83"/>
      <c r="P131" s="83"/>
      <c r="Q131" s="83"/>
      <c r="R131" s="83"/>
      <c r="S131" s="83"/>
    </row>
    <row r="132" spans="1:19" s="14" customFormat="1" ht="26.25" hidden="1" customHeight="1" x14ac:dyDescent="0.25">
      <c r="A132" s="42" t="s">
        <v>31</v>
      </c>
      <c r="B132" s="66"/>
      <c r="C132" s="66"/>
      <c r="D132" s="136">
        <f t="shared" ref="D132:I132" si="32">SUM(D133:D137)</f>
        <v>0</v>
      </c>
      <c r="E132" s="136">
        <f t="shared" si="32"/>
        <v>0</v>
      </c>
      <c r="F132" s="136">
        <f t="shared" si="32"/>
        <v>0</v>
      </c>
      <c r="G132" s="136">
        <f t="shared" si="32"/>
        <v>0</v>
      </c>
      <c r="H132" s="136">
        <f t="shared" si="32"/>
        <v>0</v>
      </c>
      <c r="I132" s="136">
        <f t="shared" si="32"/>
        <v>0</v>
      </c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</row>
    <row r="133" spans="1:19" s="23" customFormat="1" ht="69" hidden="1" customHeight="1" x14ac:dyDescent="0.25">
      <c r="A133" s="31"/>
      <c r="B133" s="73">
        <v>904</v>
      </c>
      <c r="C133" s="73" t="s">
        <v>59</v>
      </c>
      <c r="D133" s="138"/>
      <c r="E133" s="138"/>
      <c r="F133" s="138"/>
      <c r="G133" s="138"/>
      <c r="H133" s="138"/>
      <c r="I133" s="138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</row>
    <row r="134" spans="1:19" s="23" customFormat="1" ht="69" hidden="1" customHeight="1" x14ac:dyDescent="0.25">
      <c r="A134" s="93"/>
      <c r="B134" s="94"/>
      <c r="C134" s="94"/>
      <c r="D134" s="163"/>
      <c r="E134" s="163"/>
      <c r="F134" s="163"/>
      <c r="G134" s="163"/>
      <c r="H134" s="178"/>
      <c r="I134" s="163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</row>
    <row r="135" spans="1:19" s="23" customFormat="1" ht="69" hidden="1" customHeight="1" x14ac:dyDescent="0.25">
      <c r="A135" s="93"/>
      <c r="B135" s="94"/>
      <c r="C135" s="94"/>
      <c r="D135" s="163"/>
      <c r="E135" s="163"/>
      <c r="F135" s="163"/>
      <c r="G135" s="163"/>
      <c r="H135" s="178"/>
      <c r="I135" s="163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</row>
    <row r="136" spans="1:19" s="23" customFormat="1" ht="69" hidden="1" customHeight="1" x14ac:dyDescent="0.25">
      <c r="A136" s="93"/>
      <c r="B136" s="94"/>
      <c r="C136" s="94"/>
      <c r="D136" s="163"/>
      <c r="E136" s="163"/>
      <c r="F136" s="163"/>
      <c r="G136" s="163"/>
      <c r="H136" s="178"/>
      <c r="I136" s="163"/>
      <c r="J136" s="126"/>
      <c r="K136" s="126"/>
      <c r="L136" s="126"/>
      <c r="M136" s="126"/>
      <c r="N136" s="126"/>
      <c r="O136" s="126"/>
      <c r="P136" s="126"/>
      <c r="Q136" s="126"/>
      <c r="R136" s="126"/>
      <c r="S136" s="126"/>
    </row>
    <row r="137" spans="1:19" s="16" customFormat="1" ht="13.5" hidden="1" thickBot="1" x14ac:dyDescent="0.3">
      <c r="A137" s="47"/>
      <c r="B137" s="68"/>
      <c r="C137" s="68"/>
      <c r="D137" s="139"/>
      <c r="E137" s="139"/>
      <c r="F137" s="139"/>
      <c r="G137" s="139"/>
      <c r="H137" s="139"/>
      <c r="I137" s="139"/>
      <c r="J137" s="83"/>
      <c r="K137" s="83"/>
      <c r="L137" s="83"/>
      <c r="M137" s="83"/>
      <c r="N137" s="83"/>
      <c r="O137" s="83"/>
      <c r="P137" s="83"/>
      <c r="Q137" s="83"/>
      <c r="R137" s="83"/>
      <c r="S137" s="83"/>
    </row>
    <row r="138" spans="1:19" s="16" customFormat="1" ht="13.5" thickBot="1" x14ac:dyDescent="0.3">
      <c r="A138" s="48"/>
      <c r="B138" s="65"/>
      <c r="C138" s="65"/>
      <c r="D138" s="140"/>
      <c r="E138" s="140"/>
      <c r="F138" s="140"/>
      <c r="G138" s="140"/>
      <c r="H138" s="140"/>
      <c r="I138" s="140"/>
      <c r="J138" s="83"/>
      <c r="K138" s="83"/>
      <c r="L138" s="83"/>
      <c r="M138" s="83"/>
      <c r="N138" s="83"/>
      <c r="O138" s="83"/>
      <c r="P138" s="83"/>
      <c r="Q138" s="83"/>
      <c r="R138" s="83"/>
      <c r="S138" s="83"/>
    </row>
    <row r="139" spans="1:19" s="14" customFormat="1" ht="21" customHeight="1" x14ac:dyDescent="0.25">
      <c r="A139" s="42" t="s">
        <v>32</v>
      </c>
      <c r="B139" s="66"/>
      <c r="C139" s="66"/>
      <c r="D139" s="136">
        <f t="shared" ref="D139:I139" si="33">SUM(D140:D143)</f>
        <v>0</v>
      </c>
      <c r="E139" s="136">
        <f t="shared" si="33"/>
        <v>0</v>
      </c>
      <c r="F139" s="136">
        <f t="shared" si="33"/>
        <v>57696.1</v>
      </c>
      <c r="G139" s="136">
        <f t="shared" si="33"/>
        <v>0</v>
      </c>
      <c r="H139" s="136">
        <f t="shared" si="33"/>
        <v>0</v>
      </c>
      <c r="I139" s="136">
        <f t="shared" si="33"/>
        <v>0</v>
      </c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</row>
    <row r="140" spans="1:19" s="23" customFormat="1" ht="112.5" hidden="1" customHeight="1" x14ac:dyDescent="0.25">
      <c r="A140" s="27" t="s">
        <v>33</v>
      </c>
      <c r="B140" s="71"/>
      <c r="C140" s="71"/>
      <c r="D140" s="154">
        <v>0</v>
      </c>
      <c r="E140" s="154">
        <v>0</v>
      </c>
      <c r="F140" s="154">
        <v>0</v>
      </c>
      <c r="G140" s="154">
        <v>0</v>
      </c>
      <c r="H140" s="154">
        <v>0</v>
      </c>
      <c r="I140" s="154">
        <v>0</v>
      </c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</row>
    <row r="141" spans="1:19" s="23" customFormat="1" ht="99.75" hidden="1" customHeight="1" x14ac:dyDescent="0.25">
      <c r="A141" s="31" t="s">
        <v>45</v>
      </c>
      <c r="B141" s="73">
        <v>904</v>
      </c>
      <c r="C141" s="73" t="s">
        <v>59</v>
      </c>
      <c r="D141" s="138">
        <f>1634-1634</f>
        <v>0</v>
      </c>
      <c r="E141" s="138"/>
      <c r="F141" s="138"/>
      <c r="G141" s="138"/>
      <c r="H141" s="138"/>
      <c r="I141" s="138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</row>
    <row r="142" spans="1:19" s="23" customFormat="1" ht="99.75" customHeight="1" x14ac:dyDescent="0.25">
      <c r="A142" s="31" t="s">
        <v>80</v>
      </c>
      <c r="B142" s="73"/>
      <c r="C142" s="73"/>
      <c r="D142" s="138"/>
      <c r="E142" s="138"/>
      <c r="F142" s="138">
        <v>57696.1</v>
      </c>
      <c r="G142" s="138"/>
      <c r="H142" s="138"/>
      <c r="I142" s="138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</row>
    <row r="143" spans="1:19" s="16" customFormat="1" ht="13.5" thickBot="1" x14ac:dyDescent="0.3">
      <c r="A143" s="47"/>
      <c r="B143" s="68"/>
      <c r="C143" s="68"/>
      <c r="D143" s="139"/>
      <c r="E143" s="139"/>
      <c r="F143" s="139"/>
      <c r="G143" s="139"/>
      <c r="H143" s="139"/>
      <c r="I143" s="139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6" customFormat="1" ht="21.75" hidden="1" customHeight="1" x14ac:dyDescent="0.25">
      <c r="A144" s="48"/>
      <c r="B144" s="65"/>
      <c r="C144" s="65"/>
      <c r="D144" s="140"/>
      <c r="E144" s="140"/>
      <c r="F144" s="140"/>
      <c r="G144" s="140"/>
      <c r="H144" s="140"/>
      <c r="I144" s="140"/>
      <c r="J144" s="83"/>
      <c r="K144" s="83"/>
      <c r="L144" s="83"/>
      <c r="M144" s="83"/>
      <c r="N144" s="83"/>
      <c r="O144" s="83"/>
      <c r="P144" s="83"/>
      <c r="Q144" s="83"/>
      <c r="R144" s="83"/>
      <c r="S144" s="83"/>
    </row>
    <row r="145" spans="1:19" s="14" customFormat="1" ht="21" hidden="1" customHeight="1" x14ac:dyDescent="0.25">
      <c r="A145" s="42" t="s">
        <v>34</v>
      </c>
      <c r="B145" s="66"/>
      <c r="C145" s="66"/>
      <c r="D145" s="136">
        <f t="shared" ref="D145:I145" si="34">SUM(D146:D147)</f>
        <v>0</v>
      </c>
      <c r="E145" s="136">
        <f t="shared" si="34"/>
        <v>0</v>
      </c>
      <c r="F145" s="136">
        <f t="shared" si="34"/>
        <v>0</v>
      </c>
      <c r="G145" s="136">
        <f t="shared" si="34"/>
        <v>0</v>
      </c>
      <c r="H145" s="136">
        <f t="shared" si="34"/>
        <v>0</v>
      </c>
      <c r="I145" s="136">
        <f t="shared" si="34"/>
        <v>0</v>
      </c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</row>
    <row r="146" spans="1:19" s="23" customFormat="1" hidden="1" x14ac:dyDescent="0.25">
      <c r="A146" s="43"/>
      <c r="B146" s="73"/>
      <c r="C146" s="73"/>
      <c r="D146" s="138"/>
      <c r="E146" s="138"/>
      <c r="F146" s="138"/>
      <c r="G146" s="138"/>
      <c r="H146" s="138"/>
      <c r="I146" s="138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</row>
    <row r="147" spans="1:19" s="18" customFormat="1" ht="13.5" hidden="1" thickBot="1" x14ac:dyDescent="0.3">
      <c r="A147" s="44"/>
      <c r="B147" s="77"/>
      <c r="C147" s="77"/>
      <c r="D147" s="176"/>
      <c r="E147" s="176"/>
      <c r="F147" s="176"/>
      <c r="G147" s="176"/>
      <c r="H147" s="176"/>
      <c r="I147" s="176"/>
      <c r="J147" s="125"/>
      <c r="K147" s="125"/>
      <c r="L147" s="125"/>
      <c r="M147" s="125"/>
      <c r="N147" s="125"/>
      <c r="O147" s="125"/>
      <c r="P147" s="125"/>
      <c r="Q147" s="125"/>
      <c r="R147" s="125"/>
      <c r="S147" s="125"/>
    </row>
    <row r="148" spans="1:19" s="18" customFormat="1" hidden="1" x14ac:dyDescent="0.25">
      <c r="A148" s="46"/>
      <c r="B148" s="78"/>
      <c r="C148" s="78"/>
      <c r="D148" s="177"/>
      <c r="E148" s="177"/>
      <c r="F148" s="177"/>
      <c r="G148" s="177"/>
      <c r="H148" s="177"/>
      <c r="I148" s="177"/>
      <c r="J148" s="125"/>
      <c r="K148" s="125"/>
      <c r="L148" s="125"/>
      <c r="M148" s="125"/>
      <c r="N148" s="125"/>
      <c r="O148" s="125"/>
      <c r="P148" s="125"/>
      <c r="Q148" s="125"/>
      <c r="R148" s="125"/>
      <c r="S148" s="125"/>
    </row>
    <row r="149" spans="1:19" s="14" customFormat="1" ht="21" hidden="1" customHeight="1" x14ac:dyDescent="0.25">
      <c r="A149" s="42" t="s">
        <v>35</v>
      </c>
      <c r="B149" s="66"/>
      <c r="C149" s="66"/>
      <c r="D149" s="136">
        <f t="shared" ref="D149:I149" si="35">SUM(D150:D152)</f>
        <v>0</v>
      </c>
      <c r="E149" s="136">
        <f t="shared" si="35"/>
        <v>0</v>
      </c>
      <c r="F149" s="136">
        <f t="shared" si="35"/>
        <v>0</v>
      </c>
      <c r="G149" s="136">
        <f t="shared" si="35"/>
        <v>0</v>
      </c>
      <c r="H149" s="136">
        <f t="shared" si="35"/>
        <v>0</v>
      </c>
      <c r="I149" s="136">
        <f t="shared" si="35"/>
        <v>0</v>
      </c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</row>
    <row r="150" spans="1:19" s="23" customFormat="1" ht="69" hidden="1" customHeight="1" x14ac:dyDescent="0.25">
      <c r="A150" s="31"/>
      <c r="B150" s="73">
        <v>904</v>
      </c>
      <c r="C150" s="73" t="s">
        <v>59</v>
      </c>
      <c r="D150" s="138"/>
      <c r="E150" s="138"/>
      <c r="F150" s="138"/>
      <c r="G150" s="138"/>
      <c r="H150" s="138"/>
      <c r="I150" s="138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</row>
    <row r="151" spans="1:19" s="23" customFormat="1" ht="69" hidden="1" customHeight="1" x14ac:dyDescent="0.25">
      <c r="A151" s="31"/>
      <c r="B151" s="73"/>
      <c r="C151" s="73"/>
      <c r="D151" s="138"/>
      <c r="E151" s="138"/>
      <c r="F151" s="138"/>
      <c r="G151" s="138"/>
      <c r="H151" s="138"/>
      <c r="I151" s="138"/>
      <c r="J151" s="126"/>
      <c r="K151" s="126"/>
      <c r="L151" s="126"/>
      <c r="M151" s="126"/>
      <c r="N151" s="126"/>
      <c r="O151" s="126"/>
      <c r="P151" s="126"/>
      <c r="Q151" s="126"/>
      <c r="R151" s="126"/>
      <c r="S151" s="126"/>
    </row>
    <row r="152" spans="1:19" s="18" customFormat="1" ht="14.25" hidden="1" customHeight="1" thickBot="1" x14ac:dyDescent="0.3">
      <c r="A152" s="44"/>
      <c r="B152" s="77"/>
      <c r="C152" s="77"/>
      <c r="D152" s="176"/>
      <c r="E152" s="176"/>
      <c r="F152" s="176"/>
      <c r="G152" s="176"/>
      <c r="H152" s="176"/>
      <c r="I152" s="176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</row>
    <row r="153" spans="1:19" s="16" customFormat="1" ht="15.75" hidden="1" customHeight="1" thickBot="1" x14ac:dyDescent="0.3">
      <c r="A153" s="49"/>
      <c r="B153" s="65"/>
      <c r="C153" s="65"/>
      <c r="D153" s="179"/>
      <c r="E153" s="179"/>
      <c r="F153" s="179"/>
      <c r="G153" s="179"/>
      <c r="H153" s="179"/>
      <c r="I153" s="179"/>
      <c r="J153" s="83"/>
      <c r="K153" s="83"/>
      <c r="L153" s="83"/>
      <c r="M153" s="83"/>
      <c r="N153" s="83"/>
      <c r="O153" s="83"/>
      <c r="P153" s="83"/>
      <c r="Q153" s="83"/>
      <c r="R153" s="83"/>
      <c r="S153" s="83"/>
    </row>
    <row r="154" spans="1:19" s="14" customFormat="1" ht="21" hidden="1" customHeight="1" x14ac:dyDescent="0.25">
      <c r="A154" s="42" t="s">
        <v>36</v>
      </c>
      <c r="B154" s="66"/>
      <c r="C154" s="66"/>
      <c r="D154" s="136">
        <f t="shared" ref="D154:I154" si="36">SUM(D155:D156)</f>
        <v>0</v>
      </c>
      <c r="E154" s="136">
        <f t="shared" si="36"/>
        <v>0</v>
      </c>
      <c r="F154" s="136">
        <f t="shared" si="36"/>
        <v>0</v>
      </c>
      <c r="G154" s="136">
        <f t="shared" si="36"/>
        <v>0</v>
      </c>
      <c r="H154" s="136">
        <f t="shared" si="36"/>
        <v>0</v>
      </c>
      <c r="I154" s="136">
        <f t="shared" si="36"/>
        <v>0</v>
      </c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</row>
    <row r="155" spans="1:19" s="18" customFormat="1" ht="58.5" hidden="1" customHeight="1" x14ac:dyDescent="0.25">
      <c r="A155" s="20"/>
      <c r="B155" s="70"/>
      <c r="C155" s="70"/>
      <c r="D155" s="157"/>
      <c r="E155" s="157"/>
      <c r="F155" s="157"/>
      <c r="G155" s="157"/>
      <c r="H155" s="157"/>
      <c r="I155" s="157"/>
      <c r="J155" s="125"/>
      <c r="K155" s="125"/>
      <c r="L155" s="125"/>
      <c r="M155" s="125"/>
      <c r="N155" s="125"/>
      <c r="O155" s="125"/>
      <c r="P155" s="125"/>
      <c r="Q155" s="125"/>
      <c r="R155" s="125"/>
      <c r="S155" s="125"/>
    </row>
    <row r="156" spans="1:19" s="16" customFormat="1" ht="13.5" hidden="1" thickBot="1" x14ac:dyDescent="0.3">
      <c r="A156" s="47"/>
      <c r="B156" s="68"/>
      <c r="C156" s="68"/>
      <c r="D156" s="139"/>
      <c r="E156" s="139"/>
      <c r="F156" s="139"/>
      <c r="G156" s="139"/>
      <c r="H156" s="139"/>
      <c r="I156" s="139"/>
      <c r="J156" s="83"/>
      <c r="K156" s="83"/>
      <c r="L156" s="83"/>
      <c r="M156" s="83"/>
      <c r="N156" s="83"/>
      <c r="O156" s="83"/>
      <c r="P156" s="83"/>
      <c r="Q156" s="83"/>
      <c r="R156" s="83"/>
      <c r="S156" s="83"/>
    </row>
    <row r="157" spans="1:19" s="16" customFormat="1" ht="13.5" thickBot="1" x14ac:dyDescent="0.3">
      <c r="A157" s="48"/>
      <c r="B157" s="65"/>
      <c r="C157" s="65"/>
      <c r="D157" s="140"/>
      <c r="E157" s="140"/>
      <c r="F157" s="140"/>
      <c r="G157" s="140"/>
      <c r="H157" s="140"/>
      <c r="I157" s="140"/>
      <c r="J157" s="83"/>
      <c r="K157" s="83"/>
      <c r="L157" s="83"/>
      <c r="M157" s="83"/>
      <c r="N157" s="83"/>
      <c r="O157" s="83"/>
      <c r="P157" s="83"/>
      <c r="Q157" s="83"/>
      <c r="R157" s="83"/>
      <c r="S157" s="83"/>
    </row>
    <row r="158" spans="1:19" s="14" customFormat="1" ht="21" customHeight="1" x14ac:dyDescent="0.25">
      <c r="A158" s="42" t="s">
        <v>37</v>
      </c>
      <c r="B158" s="66"/>
      <c r="C158" s="66"/>
      <c r="D158" s="136">
        <f t="shared" ref="D158:I158" si="37">SUM(D159:D161)</f>
        <v>0</v>
      </c>
      <c r="E158" s="136">
        <f t="shared" si="37"/>
        <v>0</v>
      </c>
      <c r="F158" s="136">
        <f t="shared" si="37"/>
        <v>29951.4</v>
      </c>
      <c r="G158" s="136">
        <f t="shared" si="37"/>
        <v>0</v>
      </c>
      <c r="H158" s="136">
        <f t="shared" si="37"/>
        <v>0</v>
      </c>
      <c r="I158" s="136">
        <f t="shared" si="37"/>
        <v>0</v>
      </c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</row>
    <row r="159" spans="1:19" s="23" customFormat="1" ht="148.5" hidden="1" customHeight="1" x14ac:dyDescent="0.25">
      <c r="A159" s="43" t="s">
        <v>38</v>
      </c>
      <c r="B159" s="73"/>
      <c r="C159" s="73"/>
      <c r="D159" s="138">
        <v>0</v>
      </c>
      <c r="E159" s="138"/>
      <c r="F159" s="138"/>
      <c r="G159" s="138"/>
      <c r="H159" s="138"/>
      <c r="I159" s="138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</row>
    <row r="160" spans="1:19" s="23" customFormat="1" ht="78" customHeight="1" x14ac:dyDescent="0.25">
      <c r="A160" s="43" t="s">
        <v>66</v>
      </c>
      <c r="B160" s="73">
        <v>904</v>
      </c>
      <c r="C160" s="73" t="s">
        <v>59</v>
      </c>
      <c r="D160" s="138"/>
      <c r="E160" s="138"/>
      <c r="F160" s="138">
        <v>29951.4</v>
      </c>
      <c r="G160" s="138"/>
      <c r="H160" s="138"/>
      <c r="I160" s="138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</row>
    <row r="161" spans="1:19" s="18" customFormat="1" ht="13.5" thickBot="1" x14ac:dyDescent="0.3">
      <c r="A161" s="21"/>
      <c r="B161" s="68"/>
      <c r="C161" s="68"/>
      <c r="D161" s="176"/>
      <c r="E161" s="176"/>
      <c r="F161" s="176"/>
      <c r="G161" s="176"/>
      <c r="H161" s="176"/>
      <c r="I161" s="176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</row>
    <row r="162" spans="1:19" s="16" customFormat="1" ht="15.75" customHeight="1" thickBot="1" x14ac:dyDescent="0.3">
      <c r="A162" s="49"/>
      <c r="B162" s="65"/>
      <c r="C162" s="65"/>
      <c r="D162" s="179"/>
      <c r="E162" s="179"/>
      <c r="F162" s="179"/>
      <c r="G162" s="179"/>
      <c r="H162" s="179"/>
      <c r="I162" s="179"/>
      <c r="J162" s="83"/>
      <c r="K162" s="83"/>
      <c r="L162" s="83"/>
      <c r="M162" s="83"/>
      <c r="N162" s="83"/>
      <c r="O162" s="83"/>
      <c r="P162" s="83"/>
      <c r="Q162" s="83"/>
      <c r="R162" s="83"/>
      <c r="S162" s="83"/>
    </row>
    <row r="163" spans="1:19" s="14" customFormat="1" ht="21" customHeight="1" thickBot="1" x14ac:dyDescent="0.3">
      <c r="A163" s="42" t="s">
        <v>39</v>
      </c>
      <c r="B163" s="66"/>
      <c r="C163" s="66"/>
      <c r="D163" s="136">
        <f t="shared" ref="D163:I163" si="38">SUM(D164:D167)</f>
        <v>100199.2</v>
      </c>
      <c r="E163" s="136">
        <f t="shared" si="38"/>
        <v>0</v>
      </c>
      <c r="F163" s="136">
        <f t="shared" si="38"/>
        <v>1499.2</v>
      </c>
      <c r="G163" s="136">
        <f t="shared" si="38"/>
        <v>0</v>
      </c>
      <c r="H163" s="136">
        <f t="shared" si="38"/>
        <v>18285.476999999999</v>
      </c>
      <c r="I163" s="136">
        <f t="shared" si="38"/>
        <v>0</v>
      </c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</row>
    <row r="164" spans="1:19" s="23" customFormat="1" ht="120" hidden="1" customHeight="1" thickBot="1" x14ac:dyDescent="0.3">
      <c r="A164" s="60" t="s">
        <v>40</v>
      </c>
      <c r="B164" s="79"/>
      <c r="C164" s="79"/>
      <c r="D164" s="138">
        <v>0</v>
      </c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23" customFormat="1" ht="69" customHeight="1" thickBot="1" x14ac:dyDescent="0.3">
      <c r="A165" s="51" t="s">
        <v>63</v>
      </c>
      <c r="B165" s="79"/>
      <c r="C165" s="79"/>
      <c r="D165" s="138">
        <v>1499.2</v>
      </c>
      <c r="E165" s="138"/>
      <c r="F165" s="138">
        <v>1499.2</v>
      </c>
      <c r="G165" s="138"/>
      <c r="H165" s="138">
        <v>1499.2</v>
      </c>
      <c r="I165" s="138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</row>
    <row r="166" spans="1:19" s="23" customFormat="1" ht="93" customHeight="1" thickBot="1" x14ac:dyDescent="0.3">
      <c r="A166" s="60" t="s">
        <v>120</v>
      </c>
      <c r="B166" s="79"/>
      <c r="C166" s="79"/>
      <c r="D166" s="156">
        <f>115485.5-16785.5</f>
        <v>98700</v>
      </c>
      <c r="E166" s="138"/>
      <c r="F166" s="138"/>
      <c r="G166" s="138"/>
      <c r="H166" s="130">
        <v>16786.276999999998</v>
      </c>
      <c r="I166" s="138"/>
      <c r="J166" s="126"/>
      <c r="K166" s="126"/>
      <c r="L166" s="126"/>
      <c r="M166" s="126"/>
      <c r="N166" s="126"/>
      <c r="O166" s="126"/>
      <c r="P166" s="126"/>
      <c r="Q166" s="126"/>
      <c r="R166" s="126"/>
      <c r="S166" s="126"/>
    </row>
    <row r="167" spans="1:19" s="16" customFormat="1" ht="13.5" thickBot="1" x14ac:dyDescent="0.3">
      <c r="A167" s="52"/>
      <c r="B167" s="80"/>
      <c r="C167" s="80"/>
      <c r="D167" s="139"/>
      <c r="E167" s="139"/>
      <c r="F167" s="139"/>
      <c r="G167" s="139"/>
      <c r="H167" s="139"/>
      <c r="I167" s="139"/>
      <c r="J167" s="83"/>
      <c r="K167" s="83"/>
      <c r="L167" s="83"/>
      <c r="M167" s="83"/>
      <c r="N167" s="83"/>
      <c r="O167" s="83"/>
      <c r="P167" s="83"/>
      <c r="Q167" s="83"/>
      <c r="R167" s="83"/>
      <c r="S167" s="83"/>
    </row>
    <row r="168" spans="1:19" s="16" customFormat="1" ht="13.5" thickBot="1" x14ac:dyDescent="0.3">
      <c r="A168" s="23"/>
      <c r="B168" s="65"/>
      <c r="C168" s="65"/>
      <c r="D168" s="140"/>
      <c r="E168" s="140"/>
      <c r="F168" s="140"/>
      <c r="G168" s="140"/>
      <c r="H168" s="140"/>
      <c r="I168" s="140"/>
      <c r="J168" s="83"/>
      <c r="K168" s="83"/>
      <c r="L168" s="83"/>
      <c r="M168" s="83"/>
      <c r="N168" s="83"/>
      <c r="O168" s="83"/>
      <c r="P168" s="83"/>
      <c r="Q168" s="83"/>
      <c r="R168" s="83"/>
      <c r="S168" s="83"/>
    </row>
    <row r="169" spans="1:19" s="37" customFormat="1" ht="21" customHeight="1" thickBot="1" x14ac:dyDescent="0.3">
      <c r="A169" s="34" t="s">
        <v>41</v>
      </c>
      <c r="B169" s="75"/>
      <c r="C169" s="75"/>
      <c r="D169" s="165">
        <f>D97+D104+D114+D119+D132+D139+D145+D149+D154+D158+D163+D128</f>
        <v>117076.2</v>
      </c>
      <c r="E169" s="165">
        <f>E97+E104+E114+E119+E132+E139+E145+E149+E154+E158+E163</f>
        <v>1361</v>
      </c>
      <c r="F169" s="165">
        <f>F97+F104+F114+F119+F132+F139+F145+F149+F154+F158+F163+F128</f>
        <v>89238.2</v>
      </c>
      <c r="G169" s="165">
        <f>G97+G104+G114+G119+G132+G139+G145+G149+G154+G158+G163</f>
        <v>0</v>
      </c>
      <c r="H169" s="165">
        <f>H97+H104+H114+H119+H132+H139+H145+H149+H154+H158+H163+H128</f>
        <v>47914</v>
      </c>
      <c r="I169" s="165">
        <f>I97+I104+I114+I119+I132+I139+I145+I149+I154+I158+I163</f>
        <v>0</v>
      </c>
      <c r="J169" s="127"/>
      <c r="K169" s="127"/>
      <c r="L169" s="127"/>
      <c r="M169" s="127"/>
      <c r="N169" s="127"/>
      <c r="O169" s="127"/>
      <c r="P169" s="127"/>
      <c r="Q169" s="127"/>
      <c r="R169" s="127"/>
      <c r="S169" s="127"/>
    </row>
    <row r="170" spans="1:19" s="16" customFormat="1" ht="13.5" thickBot="1" x14ac:dyDescent="0.3">
      <c r="A170" s="23"/>
      <c r="B170" s="65"/>
      <c r="C170" s="65"/>
      <c r="D170" s="140"/>
      <c r="E170" s="140"/>
      <c r="F170" s="140"/>
      <c r="G170" s="140"/>
      <c r="H170" s="140"/>
      <c r="I170" s="140"/>
      <c r="J170" s="83"/>
      <c r="K170" s="83"/>
      <c r="L170" s="83"/>
      <c r="M170" s="83"/>
      <c r="N170" s="83"/>
      <c r="O170" s="83"/>
      <c r="P170" s="83"/>
      <c r="Q170" s="83"/>
      <c r="R170" s="83"/>
      <c r="S170" s="83"/>
    </row>
    <row r="171" spans="1:19" s="55" customFormat="1" ht="21" customHeight="1" thickBot="1" x14ac:dyDescent="0.3">
      <c r="A171" s="53" t="s">
        <v>42</v>
      </c>
      <c r="B171" s="81"/>
      <c r="C171" s="81"/>
      <c r="D171" s="180">
        <f t="shared" ref="D171:I171" si="39">D95+D169</f>
        <v>493310.9</v>
      </c>
      <c r="E171" s="181">
        <f t="shared" si="39"/>
        <v>27729.800000000003</v>
      </c>
      <c r="F171" s="180">
        <f t="shared" si="39"/>
        <v>422090.30000000005</v>
      </c>
      <c r="G171" s="181">
        <f t="shared" si="39"/>
        <v>9740.7999999999993</v>
      </c>
      <c r="H171" s="180">
        <f t="shared" si="39"/>
        <v>456407.7</v>
      </c>
      <c r="I171" s="181">
        <f t="shared" si="39"/>
        <v>22525.1</v>
      </c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</row>
    <row r="172" spans="1:19" s="56" customFormat="1" x14ac:dyDescent="0.25">
      <c r="B172" s="64"/>
      <c r="C172" s="64"/>
      <c r="D172" s="140"/>
      <c r="E172" s="140"/>
      <c r="F172" s="140"/>
      <c r="G172" s="140"/>
      <c r="H172" s="140"/>
      <c r="I172" s="140"/>
      <c r="J172" s="83"/>
      <c r="K172" s="83"/>
      <c r="L172" s="83"/>
      <c r="M172" s="83"/>
      <c r="N172" s="83"/>
      <c r="O172" s="83"/>
      <c r="P172" s="83"/>
      <c r="Q172" s="83"/>
      <c r="R172" s="83"/>
      <c r="S172" s="83"/>
    </row>
    <row r="173" spans="1:19" s="56" customFormat="1" x14ac:dyDescent="0.25">
      <c r="B173" s="64"/>
      <c r="C173" s="64"/>
      <c r="D173" s="140"/>
      <c r="E173" s="140"/>
      <c r="F173" s="140"/>
      <c r="G173" s="140"/>
      <c r="H173" s="140"/>
      <c r="I173" s="140"/>
      <c r="J173" s="83"/>
      <c r="K173" s="83"/>
      <c r="L173" s="83"/>
      <c r="M173" s="83"/>
      <c r="N173" s="83"/>
      <c r="O173" s="83"/>
      <c r="P173" s="83"/>
      <c r="Q173" s="83"/>
      <c r="R173" s="83"/>
      <c r="S173" s="83"/>
    </row>
    <row r="174" spans="1:19" s="56" customFormat="1" x14ac:dyDescent="0.25">
      <c r="B174" s="64"/>
      <c r="C174" s="64"/>
      <c r="D174" s="140"/>
      <c r="E174" s="140"/>
      <c r="F174" s="140"/>
      <c r="G174" s="140"/>
      <c r="H174" s="140"/>
      <c r="I174" s="140"/>
      <c r="J174" s="83"/>
      <c r="K174" s="83"/>
      <c r="L174" s="83"/>
      <c r="M174" s="83"/>
      <c r="N174" s="83"/>
      <c r="O174" s="83"/>
      <c r="P174" s="83"/>
      <c r="Q174" s="83"/>
      <c r="R174" s="83"/>
      <c r="S174" s="83"/>
    </row>
    <row r="175" spans="1:19" s="59" customFormat="1" ht="33" customHeight="1" x14ac:dyDescent="0.25">
      <c r="A175" s="57" t="s">
        <v>43</v>
      </c>
      <c r="B175" s="82"/>
      <c r="C175" s="82"/>
      <c r="D175" s="182"/>
      <c r="E175" s="227" t="s">
        <v>44</v>
      </c>
      <c r="F175" s="227"/>
      <c r="G175" s="227"/>
      <c r="H175" s="227"/>
      <c r="I175" s="227"/>
      <c r="J175" s="129"/>
      <c r="K175" s="129"/>
      <c r="L175" s="129"/>
      <c r="M175" s="129"/>
      <c r="N175" s="129"/>
      <c r="O175" s="129"/>
      <c r="P175" s="129"/>
      <c r="Q175" s="129"/>
      <c r="R175" s="129"/>
      <c r="S175" s="129"/>
    </row>
    <row r="176" spans="1:19" s="83" customFormat="1" x14ac:dyDescent="0.25">
      <c r="D176" s="140"/>
      <c r="E176" s="140"/>
      <c r="F176" s="140"/>
      <c r="G176" s="140"/>
      <c r="H176" s="140"/>
      <c r="I176" s="140"/>
    </row>
    <row r="177" spans="2:9" s="83" customFormat="1" x14ac:dyDescent="0.25">
      <c r="D177" s="140"/>
      <c r="E177" s="140"/>
      <c r="F177" s="140"/>
      <c r="G177" s="140"/>
      <c r="H177" s="140"/>
      <c r="I177" s="140"/>
    </row>
    <row r="178" spans="2:9" s="83" customFormat="1" x14ac:dyDescent="0.25">
      <c r="D178" s="140"/>
      <c r="E178" s="140"/>
      <c r="F178" s="140"/>
      <c r="G178" s="140"/>
      <c r="H178" s="140"/>
      <c r="I178" s="140"/>
    </row>
    <row r="179" spans="2:9" s="83" customFormat="1" hidden="1" x14ac:dyDescent="0.25">
      <c r="B179" s="84">
        <v>902</v>
      </c>
      <c r="C179" s="83" t="s">
        <v>48</v>
      </c>
      <c r="D179" s="140">
        <f t="shared" ref="D179:I179" si="40">D15</f>
        <v>2857.2999999999997</v>
      </c>
      <c r="E179" s="140">
        <f t="shared" si="40"/>
        <v>231.7</v>
      </c>
      <c r="F179" s="140">
        <f t="shared" si="40"/>
        <v>2890</v>
      </c>
      <c r="G179" s="140">
        <f t="shared" si="40"/>
        <v>234.4</v>
      </c>
      <c r="H179" s="140">
        <f t="shared" si="40"/>
        <v>2907.8</v>
      </c>
      <c r="I179" s="140">
        <f t="shared" si="40"/>
        <v>235.8</v>
      </c>
    </row>
    <row r="180" spans="2:9" s="83" customFormat="1" hidden="1" x14ac:dyDescent="0.25">
      <c r="B180" s="84"/>
      <c r="D180" s="140"/>
      <c r="E180" s="140"/>
      <c r="F180" s="140"/>
      <c r="G180" s="140"/>
      <c r="H180" s="140"/>
      <c r="I180" s="140"/>
    </row>
    <row r="181" spans="2:9" s="83" customFormat="1" hidden="1" x14ac:dyDescent="0.25">
      <c r="B181" s="84">
        <v>904</v>
      </c>
      <c r="C181" s="83" t="s">
        <v>53</v>
      </c>
      <c r="D181" s="140">
        <f t="shared" ref="D181:I181" si="41">D120</f>
        <v>91.5</v>
      </c>
      <c r="E181" s="140">
        <f t="shared" si="41"/>
        <v>0</v>
      </c>
      <c r="F181" s="140">
        <f t="shared" si="41"/>
        <v>91.5</v>
      </c>
      <c r="G181" s="140">
        <f t="shared" si="41"/>
        <v>0</v>
      </c>
      <c r="H181" s="140">
        <f t="shared" si="41"/>
        <v>91.5</v>
      </c>
      <c r="I181" s="140">
        <f t="shared" si="41"/>
        <v>0</v>
      </c>
    </row>
    <row r="182" spans="2:9" s="83" customFormat="1" hidden="1" x14ac:dyDescent="0.25">
      <c r="B182" s="84">
        <v>904</v>
      </c>
      <c r="C182" s="83" t="s">
        <v>59</v>
      </c>
      <c r="D182" s="140">
        <f t="shared" ref="D182:I182" si="42">D160+D150+D141+D133</f>
        <v>0</v>
      </c>
      <c r="E182" s="140">
        <f t="shared" si="42"/>
        <v>0</v>
      </c>
      <c r="F182" s="140">
        <f t="shared" si="42"/>
        <v>29951.4</v>
      </c>
      <c r="G182" s="140">
        <f t="shared" si="42"/>
        <v>0</v>
      </c>
      <c r="H182" s="140">
        <f t="shared" si="42"/>
        <v>0</v>
      </c>
      <c r="I182" s="140">
        <f t="shared" si="42"/>
        <v>0</v>
      </c>
    </row>
    <row r="183" spans="2:9" s="83" customFormat="1" hidden="1" x14ac:dyDescent="0.25">
      <c r="B183" s="84">
        <v>904</v>
      </c>
      <c r="C183" s="83" t="s">
        <v>55</v>
      </c>
      <c r="D183" s="140" t="e">
        <f>D98+#REF!</f>
        <v>#REF!</v>
      </c>
      <c r="E183" s="140" t="e">
        <f>E98+#REF!</f>
        <v>#REF!</v>
      </c>
      <c r="F183" s="140" t="e">
        <f>F98+#REF!</f>
        <v>#REF!</v>
      </c>
      <c r="G183" s="140" t="e">
        <f>G98+#REF!</f>
        <v>#REF!</v>
      </c>
      <c r="H183" s="140" t="e">
        <f>H98+#REF!</f>
        <v>#REF!</v>
      </c>
      <c r="I183" s="140" t="e">
        <f>I98+#REF!</f>
        <v>#REF!</v>
      </c>
    </row>
    <row r="184" spans="2:9" s="83" customFormat="1" hidden="1" x14ac:dyDescent="0.25">
      <c r="B184" s="84"/>
      <c r="D184" s="140"/>
      <c r="E184" s="140"/>
      <c r="F184" s="140"/>
      <c r="G184" s="140"/>
      <c r="H184" s="140"/>
      <c r="I184" s="140"/>
    </row>
    <row r="185" spans="2:9" s="83" customFormat="1" hidden="1" x14ac:dyDescent="0.25">
      <c r="B185" s="84">
        <v>906</v>
      </c>
      <c r="C185" s="83" t="s">
        <v>56</v>
      </c>
      <c r="D185" s="140" t="e">
        <f>#REF!</f>
        <v>#REF!</v>
      </c>
      <c r="E185" s="140" t="e">
        <f>#REF!</f>
        <v>#REF!</v>
      </c>
      <c r="F185" s="140" t="e">
        <f>#REF!</f>
        <v>#REF!</v>
      </c>
      <c r="G185" s="140" t="e">
        <f>#REF!</f>
        <v>#REF!</v>
      </c>
      <c r="H185" s="140" t="e">
        <f>#REF!</f>
        <v>#REF!</v>
      </c>
      <c r="I185" s="140" t="e">
        <f>#REF!</f>
        <v>#REF!</v>
      </c>
    </row>
    <row r="186" spans="2:9" s="83" customFormat="1" hidden="1" x14ac:dyDescent="0.25">
      <c r="B186" s="84">
        <v>906</v>
      </c>
      <c r="C186" s="83" t="s">
        <v>49</v>
      </c>
      <c r="D186" s="140">
        <f t="shared" ref="D186:I186" si="43">D78</f>
        <v>481.6</v>
      </c>
      <c r="E186" s="140">
        <f t="shared" si="43"/>
        <v>39.1</v>
      </c>
      <c r="F186" s="140">
        <f t="shared" si="43"/>
        <v>481.6</v>
      </c>
      <c r="G186" s="140">
        <f t="shared" si="43"/>
        <v>39.1</v>
      </c>
      <c r="H186" s="140">
        <f t="shared" si="43"/>
        <v>481.6</v>
      </c>
      <c r="I186" s="140">
        <f t="shared" si="43"/>
        <v>39.1</v>
      </c>
    </row>
    <row r="187" spans="2:9" s="83" customFormat="1" hidden="1" x14ac:dyDescent="0.25">
      <c r="B187" s="84">
        <v>906</v>
      </c>
      <c r="C187" s="83" t="s">
        <v>55</v>
      </c>
      <c r="D187" s="140" t="e">
        <f>D76+#REF!+D80+D81</f>
        <v>#REF!</v>
      </c>
      <c r="E187" s="140" t="e">
        <f>E76+#REF!+E80+E81</f>
        <v>#REF!</v>
      </c>
      <c r="F187" s="140" t="e">
        <f>F76+#REF!+F80+F81</f>
        <v>#REF!</v>
      </c>
      <c r="G187" s="140" t="e">
        <f>G76+#REF!+G80+G81</f>
        <v>#REF!</v>
      </c>
      <c r="H187" s="140" t="e">
        <f>H76+#REF!+H80+H81</f>
        <v>#REF!</v>
      </c>
      <c r="I187" s="140" t="e">
        <f>I76+#REF!+I80+I81</f>
        <v>#REF!</v>
      </c>
    </row>
    <row r="188" spans="2:9" s="83" customFormat="1" hidden="1" x14ac:dyDescent="0.25">
      <c r="B188" s="84"/>
      <c r="D188" s="140"/>
      <c r="E188" s="140"/>
      <c r="F188" s="140"/>
      <c r="G188" s="140"/>
      <c r="H188" s="140"/>
      <c r="I188" s="140"/>
    </row>
    <row r="189" spans="2:9" s="83" customFormat="1" hidden="1" x14ac:dyDescent="0.25">
      <c r="B189" s="84">
        <v>907</v>
      </c>
      <c r="C189" s="83" t="s">
        <v>50</v>
      </c>
      <c r="D189" s="140" t="e">
        <f>#REF!+#REF!+D21</f>
        <v>#REF!</v>
      </c>
      <c r="E189" s="140" t="e">
        <f>#REF!+#REF!+E21</f>
        <v>#REF!</v>
      </c>
      <c r="F189" s="140" t="e">
        <f>#REF!+#REF!+F21</f>
        <v>#REF!</v>
      </c>
      <c r="G189" s="140" t="e">
        <f>#REF!+#REF!+G21</f>
        <v>#REF!</v>
      </c>
      <c r="H189" s="140" t="e">
        <f>#REF!+#REF!+H21</f>
        <v>#REF!</v>
      </c>
      <c r="I189" s="140" t="e">
        <f>#REF!+#REF!+I21</f>
        <v>#REF!</v>
      </c>
    </row>
    <row r="190" spans="2:9" s="83" customFormat="1" hidden="1" x14ac:dyDescent="0.25">
      <c r="B190" s="84">
        <v>907</v>
      </c>
      <c r="C190" s="83" t="s">
        <v>49</v>
      </c>
      <c r="D190" s="140">
        <f t="shared" ref="D190:I190" si="44">D20</f>
        <v>3081.1</v>
      </c>
      <c r="E190" s="140">
        <f t="shared" si="44"/>
        <v>249.9</v>
      </c>
      <c r="F190" s="140">
        <f t="shared" si="44"/>
        <v>3204.3</v>
      </c>
      <c r="G190" s="140">
        <f t="shared" si="44"/>
        <v>259.90000000000003</v>
      </c>
      <c r="H190" s="140">
        <f t="shared" si="44"/>
        <v>3332.5</v>
      </c>
      <c r="I190" s="140">
        <f t="shared" si="44"/>
        <v>270.3</v>
      </c>
    </row>
    <row r="191" spans="2:9" s="83" customFormat="1" hidden="1" x14ac:dyDescent="0.25">
      <c r="B191" s="84"/>
      <c r="D191" s="140"/>
      <c r="E191" s="140"/>
      <c r="F191" s="140"/>
      <c r="G191" s="140"/>
      <c r="H191" s="140"/>
      <c r="I191" s="140"/>
    </row>
    <row r="192" spans="2:9" s="83" customFormat="1" hidden="1" x14ac:dyDescent="0.25">
      <c r="B192" s="84">
        <v>913</v>
      </c>
      <c r="C192" s="83" t="s">
        <v>57</v>
      </c>
      <c r="D192" s="140">
        <f t="shared" ref="D192:I193" si="45">D91</f>
        <v>464.29999999999995</v>
      </c>
      <c r="E192" s="140">
        <f t="shared" si="45"/>
        <v>37.700000000000003</v>
      </c>
      <c r="F192" s="140">
        <f t="shared" si="45"/>
        <v>463.3</v>
      </c>
      <c r="G192" s="140">
        <f t="shared" si="45"/>
        <v>37.6</v>
      </c>
      <c r="H192" s="140">
        <f t="shared" si="45"/>
        <v>463.3</v>
      </c>
      <c r="I192" s="140">
        <f t="shared" si="45"/>
        <v>37.6</v>
      </c>
    </row>
    <row r="193" spans="2:9" s="83" customFormat="1" hidden="1" x14ac:dyDescent="0.25">
      <c r="B193" s="84">
        <v>913</v>
      </c>
      <c r="C193" s="83" t="s">
        <v>58</v>
      </c>
      <c r="D193" s="140">
        <f t="shared" si="45"/>
        <v>0</v>
      </c>
      <c r="E193" s="140">
        <f t="shared" si="45"/>
        <v>0</v>
      </c>
      <c r="F193" s="140">
        <f t="shared" si="45"/>
        <v>0</v>
      </c>
      <c r="G193" s="140">
        <f t="shared" si="45"/>
        <v>0</v>
      </c>
      <c r="H193" s="140">
        <f t="shared" si="45"/>
        <v>0</v>
      </c>
      <c r="I193" s="140">
        <f t="shared" si="45"/>
        <v>0</v>
      </c>
    </row>
    <row r="194" spans="2:9" s="83" customFormat="1" hidden="1" x14ac:dyDescent="0.25">
      <c r="B194" s="84"/>
      <c r="D194" s="140"/>
      <c r="E194" s="140"/>
      <c r="F194" s="140"/>
      <c r="G194" s="140"/>
      <c r="H194" s="140"/>
      <c r="I194" s="140"/>
    </row>
    <row r="195" spans="2:9" s="83" customFormat="1" hidden="1" x14ac:dyDescent="0.25">
      <c r="B195" s="84">
        <v>914</v>
      </c>
      <c r="C195" s="83" t="s">
        <v>51</v>
      </c>
      <c r="D195" s="140">
        <f t="shared" ref="D195:I195" si="46">D34+D35</f>
        <v>290</v>
      </c>
      <c r="E195" s="140">
        <f t="shared" si="46"/>
        <v>23.6</v>
      </c>
      <c r="F195" s="140">
        <f t="shared" si="46"/>
        <v>304.3</v>
      </c>
      <c r="G195" s="140">
        <f t="shared" si="46"/>
        <v>24.8</v>
      </c>
      <c r="H195" s="140">
        <f t="shared" si="46"/>
        <v>315.90000000000003</v>
      </c>
      <c r="I195" s="140">
        <f t="shared" si="46"/>
        <v>25.7</v>
      </c>
    </row>
    <row r="196" spans="2:9" s="83" customFormat="1" hidden="1" x14ac:dyDescent="0.25">
      <c r="B196" s="84">
        <v>914</v>
      </c>
      <c r="C196" s="83" t="s">
        <v>54</v>
      </c>
      <c r="D196" s="140" t="e">
        <f>#REF!+#REF!+#REF!</f>
        <v>#REF!</v>
      </c>
      <c r="E196" s="140" t="e">
        <f>#REF!+#REF!+#REF!</f>
        <v>#REF!</v>
      </c>
      <c r="F196" s="140" t="e">
        <f>#REF!+#REF!+#REF!</f>
        <v>#REF!</v>
      </c>
      <c r="G196" s="140" t="e">
        <f>#REF!+#REF!+#REF!</f>
        <v>#REF!</v>
      </c>
      <c r="H196" s="140" t="e">
        <f>#REF!+#REF!+#REF!</f>
        <v>#REF!</v>
      </c>
      <c r="I196" s="140" t="e">
        <f>#REF!+#REF!+#REF!</f>
        <v>#REF!</v>
      </c>
    </row>
    <row r="197" spans="2:9" s="83" customFormat="1" hidden="1" x14ac:dyDescent="0.25">
      <c r="B197" s="84">
        <v>914</v>
      </c>
      <c r="C197" s="83" t="s">
        <v>53</v>
      </c>
      <c r="D197" s="140" t="e">
        <f>D37+#REF!</f>
        <v>#REF!</v>
      </c>
      <c r="E197" s="140" t="e">
        <f>E37+#REF!</f>
        <v>#REF!</v>
      </c>
      <c r="F197" s="140" t="e">
        <f>F37+#REF!</f>
        <v>#REF!</v>
      </c>
      <c r="G197" s="140" t="e">
        <f>G37+#REF!</f>
        <v>#REF!</v>
      </c>
      <c r="H197" s="140" t="e">
        <f>H37+#REF!</f>
        <v>#REF!</v>
      </c>
      <c r="I197" s="140" t="e">
        <f>I37+#REF!</f>
        <v>#REF!</v>
      </c>
    </row>
    <row r="198" spans="2:9" s="83" customFormat="1" hidden="1" x14ac:dyDescent="0.25">
      <c r="B198" s="84">
        <v>914</v>
      </c>
      <c r="C198" s="83" t="s">
        <v>52</v>
      </c>
      <c r="D198" s="140" t="e">
        <f>D36+#REF!+D38</f>
        <v>#REF!</v>
      </c>
      <c r="E198" s="140" t="e">
        <f>E36+#REF!+E38</f>
        <v>#REF!</v>
      </c>
      <c r="F198" s="140" t="e">
        <f>F36+#REF!+F38</f>
        <v>#REF!</v>
      </c>
      <c r="G198" s="140" t="e">
        <f>G36+#REF!+G38</f>
        <v>#REF!</v>
      </c>
      <c r="H198" s="140" t="e">
        <f>H36+#REF!+H38</f>
        <v>#REF!</v>
      </c>
      <c r="I198" s="140" t="e">
        <f>I36+#REF!+I38</f>
        <v>#REF!</v>
      </c>
    </row>
    <row r="199" spans="2:9" s="83" customFormat="1" hidden="1" x14ac:dyDescent="0.25">
      <c r="B199" s="84"/>
      <c r="D199" s="140"/>
      <c r="E199" s="140"/>
      <c r="F199" s="140"/>
      <c r="G199" s="140"/>
      <c r="H199" s="140"/>
      <c r="I199" s="140"/>
    </row>
    <row r="200" spans="2:9" s="83" customFormat="1" hidden="1" x14ac:dyDescent="0.25">
      <c r="B200" s="84"/>
      <c r="D200" s="140" t="e">
        <f t="shared" ref="D200:I200" si="47">SUM(D179:D198)</f>
        <v>#REF!</v>
      </c>
      <c r="E200" s="140" t="e">
        <f t="shared" si="47"/>
        <v>#REF!</v>
      </c>
      <c r="F200" s="140" t="e">
        <f t="shared" si="47"/>
        <v>#REF!</v>
      </c>
      <c r="G200" s="140" t="e">
        <f t="shared" si="47"/>
        <v>#REF!</v>
      </c>
      <c r="H200" s="140" t="e">
        <f t="shared" si="47"/>
        <v>#REF!</v>
      </c>
      <c r="I200" s="140" t="e">
        <f t="shared" si="47"/>
        <v>#REF!</v>
      </c>
    </row>
    <row r="201" spans="2:9" s="83" customFormat="1" hidden="1" x14ac:dyDescent="0.25">
      <c r="D201" s="140" t="e">
        <f t="shared" ref="D201:I201" si="48">D171-D200</f>
        <v>#REF!</v>
      </c>
      <c r="E201" s="140" t="e">
        <f t="shared" si="48"/>
        <v>#REF!</v>
      </c>
      <c r="F201" s="140" t="e">
        <f t="shared" si="48"/>
        <v>#REF!</v>
      </c>
      <c r="G201" s="140" t="e">
        <f t="shared" si="48"/>
        <v>#REF!</v>
      </c>
      <c r="H201" s="140" t="e">
        <f t="shared" si="48"/>
        <v>#REF!</v>
      </c>
      <c r="I201" s="140" t="e">
        <f t="shared" si="48"/>
        <v>#REF!</v>
      </c>
    </row>
    <row r="202" spans="2:9" s="83" customFormat="1" hidden="1" x14ac:dyDescent="0.25">
      <c r="D202" s="140"/>
      <c r="E202" s="140"/>
      <c r="F202" s="140"/>
      <c r="G202" s="140"/>
      <c r="H202" s="140"/>
      <c r="I202" s="140"/>
    </row>
    <row r="203" spans="2:9" s="83" customFormat="1" hidden="1" x14ac:dyDescent="0.25">
      <c r="D203" s="140"/>
      <c r="E203" s="140"/>
      <c r="F203" s="140"/>
      <c r="G203" s="140"/>
      <c r="H203" s="140"/>
      <c r="I203" s="140"/>
    </row>
    <row r="204" spans="2:9" s="83" customFormat="1" hidden="1" x14ac:dyDescent="0.25">
      <c r="D204" s="140"/>
      <c r="E204" s="140"/>
      <c r="F204" s="140"/>
      <c r="G204" s="140"/>
      <c r="H204" s="140"/>
      <c r="I204" s="140"/>
    </row>
    <row r="205" spans="2:9" s="83" customFormat="1" x14ac:dyDescent="0.25">
      <c r="D205" s="140"/>
      <c r="E205" s="140"/>
      <c r="F205" s="140"/>
      <c r="G205" s="140"/>
      <c r="H205" s="140"/>
      <c r="I205" s="140"/>
    </row>
    <row r="206" spans="2:9" s="83" customFormat="1" x14ac:dyDescent="0.25">
      <c r="D206" s="140"/>
      <c r="E206" s="140"/>
      <c r="F206" s="140"/>
      <c r="G206" s="140"/>
      <c r="H206" s="140"/>
      <c r="I206" s="140"/>
    </row>
    <row r="207" spans="2:9" s="83" customFormat="1" x14ac:dyDescent="0.25">
      <c r="D207" s="140">
        <v>493310.89999999991</v>
      </c>
      <c r="E207" s="140"/>
      <c r="F207" s="140">
        <v>422090.3</v>
      </c>
      <c r="G207" s="140"/>
      <c r="H207" s="140">
        <v>456407.69999999995</v>
      </c>
      <c r="I207" s="140"/>
    </row>
    <row r="208" spans="2:9" s="83" customFormat="1" x14ac:dyDescent="0.25">
      <c r="D208" s="140">
        <f>D207-D171</f>
        <v>0</v>
      </c>
      <c r="E208" s="140"/>
      <c r="F208" s="140">
        <f>F207-F171</f>
        <v>0</v>
      </c>
      <c r="G208" s="140"/>
      <c r="H208" s="140">
        <f>H207-H171</f>
        <v>0</v>
      </c>
      <c r="I208" s="140"/>
    </row>
    <row r="209" spans="4:9" s="83" customFormat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  <row r="404" spans="4:9" s="83" customFormat="1" x14ac:dyDescent="0.25">
      <c r="D404" s="140"/>
      <c r="E404" s="140"/>
      <c r="F404" s="140"/>
      <c r="G404" s="140"/>
      <c r="H404" s="140"/>
      <c r="I404" s="140"/>
    </row>
    <row r="405" spans="4:9" s="83" customFormat="1" x14ac:dyDescent="0.25">
      <c r="D405" s="140"/>
      <c r="E405" s="140"/>
      <c r="F405" s="140"/>
      <c r="G405" s="140"/>
      <c r="H405" s="140"/>
      <c r="I405" s="140"/>
    </row>
    <row r="406" spans="4:9" s="83" customFormat="1" x14ac:dyDescent="0.25">
      <c r="D406" s="140"/>
      <c r="E406" s="140"/>
      <c r="F406" s="140"/>
      <c r="G406" s="140"/>
      <c r="H406" s="140"/>
      <c r="I406" s="140"/>
    </row>
    <row r="407" spans="4:9" s="83" customFormat="1" x14ac:dyDescent="0.25">
      <c r="D407" s="140"/>
      <c r="E407" s="140"/>
      <c r="F407" s="140"/>
      <c r="G407" s="140"/>
      <c r="H407" s="140"/>
      <c r="I407" s="140"/>
    </row>
    <row r="408" spans="4:9" s="83" customFormat="1" x14ac:dyDescent="0.25">
      <c r="D408" s="140"/>
      <c r="E408" s="140"/>
      <c r="F408" s="140"/>
      <c r="G408" s="140"/>
      <c r="H408" s="140"/>
      <c r="I408" s="140"/>
    </row>
    <row r="409" spans="4:9" s="83" customFormat="1" x14ac:dyDescent="0.25">
      <c r="D409" s="140"/>
      <c r="E409" s="140"/>
      <c r="F409" s="140"/>
      <c r="G409" s="140"/>
      <c r="H409" s="140"/>
      <c r="I409" s="140"/>
    </row>
    <row r="410" spans="4:9" s="83" customFormat="1" x14ac:dyDescent="0.25">
      <c r="D410" s="140"/>
      <c r="E410" s="140"/>
      <c r="F410" s="140"/>
      <c r="G410" s="140"/>
      <c r="H410" s="140"/>
      <c r="I410" s="140"/>
    </row>
    <row r="411" spans="4:9" s="83" customFormat="1" x14ac:dyDescent="0.25">
      <c r="D411" s="140"/>
      <c r="E411" s="140"/>
      <c r="F411" s="140"/>
      <c r="G411" s="140"/>
      <c r="H411" s="140"/>
      <c r="I411" s="140"/>
    </row>
    <row r="412" spans="4:9" s="83" customFormat="1" x14ac:dyDescent="0.25">
      <c r="D412" s="140"/>
      <c r="E412" s="140"/>
      <c r="F412" s="140"/>
      <c r="G412" s="140"/>
      <c r="H412" s="140"/>
      <c r="I412" s="140"/>
    </row>
    <row r="413" spans="4:9" s="83" customFormat="1" x14ac:dyDescent="0.25">
      <c r="D413" s="140"/>
      <c r="E413" s="140"/>
      <c r="F413" s="140"/>
      <c r="G413" s="140"/>
      <c r="H413" s="140"/>
      <c r="I413" s="140"/>
    </row>
    <row r="414" spans="4:9" s="83" customFormat="1" x14ac:dyDescent="0.25">
      <c r="D414" s="140"/>
      <c r="E414" s="140"/>
      <c r="F414" s="140"/>
      <c r="G414" s="140"/>
      <c r="H414" s="140"/>
      <c r="I414" s="140"/>
    </row>
    <row r="415" spans="4:9" s="83" customFormat="1" x14ac:dyDescent="0.25">
      <c r="D415" s="140"/>
      <c r="E415" s="140"/>
      <c r="F415" s="140"/>
      <c r="G415" s="140"/>
      <c r="H415" s="140"/>
      <c r="I415" s="140"/>
    </row>
  </sheetData>
  <mergeCells count="12">
    <mergeCell ref="E175:I175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conditionalFormatting sqref="L15:L91 P15:P53 N15:N66 P64:P91 N68:N91">
    <cfRule type="cellIs" dxfId="27" priority="4" stopIfTrue="1" operator="lessThan">
      <formula>0</formula>
    </cfRule>
  </conditionalFormatting>
  <conditionalFormatting sqref="P54:P63">
    <cfRule type="cellIs" dxfId="26" priority="3" stopIfTrue="1" operator="lessThan">
      <formula>0</formula>
    </cfRule>
  </conditionalFormatting>
  <conditionalFormatting sqref="N67">
    <cfRule type="cellIs" dxfId="25" priority="2" stopIfTrue="1" operator="lessThan">
      <formula>0</formula>
    </cfRule>
  </conditionalFormatting>
  <conditionalFormatting sqref="D208 F208 H208">
    <cfRule type="cellIs" dxfId="24" priority="1" stopIfTrue="1" operator="equal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3"/>
  <sheetViews>
    <sheetView topLeftCell="A74" zoomScale="85" zoomScaleNormal="85" zoomScaleSheetLayoutView="75" workbookViewId="0">
      <selection activeCell="G80" sqref="G80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220" t="s">
        <v>146</v>
      </c>
      <c r="B1" s="220"/>
      <c r="C1" s="220"/>
      <c r="D1" s="220"/>
      <c r="E1" s="220"/>
      <c r="F1" s="220"/>
      <c r="G1" s="220"/>
      <c r="H1" s="220"/>
      <c r="I1" s="220"/>
    </row>
    <row r="2" spans="1:19" ht="12.75" customHeight="1" x14ac:dyDescent="0.25">
      <c r="A2" s="220" t="s">
        <v>0</v>
      </c>
      <c r="B2" s="220"/>
      <c r="C2" s="220"/>
      <c r="D2" s="220"/>
      <c r="E2" s="220"/>
      <c r="F2" s="220"/>
      <c r="G2" s="220"/>
      <c r="H2" s="220"/>
      <c r="I2" s="220"/>
    </row>
    <row r="3" spans="1:19" ht="12.75" customHeight="1" x14ac:dyDescent="0.25">
      <c r="A3" s="220" t="s">
        <v>73</v>
      </c>
      <c r="B3" s="220"/>
      <c r="C3" s="220"/>
      <c r="D3" s="220"/>
      <c r="E3" s="220"/>
      <c r="F3" s="220"/>
      <c r="G3" s="220"/>
      <c r="H3" s="220"/>
      <c r="I3" s="220"/>
    </row>
    <row r="4" spans="1:19" ht="12.75" customHeight="1" x14ac:dyDescent="0.25">
      <c r="A4" s="220" t="s">
        <v>74</v>
      </c>
      <c r="B4" s="220"/>
      <c r="C4" s="220"/>
      <c r="D4" s="220"/>
      <c r="E4" s="220"/>
      <c r="F4" s="220"/>
      <c r="G4" s="220"/>
      <c r="H4" s="220"/>
      <c r="I4" s="220"/>
    </row>
    <row r="5" spans="1:19" ht="12.75" customHeight="1" x14ac:dyDescent="0.25">
      <c r="A5" s="220" t="s">
        <v>147</v>
      </c>
      <c r="B5" s="220"/>
      <c r="C5" s="220"/>
      <c r="D5" s="220"/>
      <c r="E5" s="220"/>
      <c r="F5" s="220"/>
      <c r="G5" s="220"/>
      <c r="H5" s="220"/>
      <c r="I5" s="220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193" customFormat="1" ht="42.75" customHeight="1" x14ac:dyDescent="0.25">
      <c r="A7" s="221" t="s">
        <v>76</v>
      </c>
      <c r="B7" s="221"/>
      <c r="C7" s="221"/>
      <c r="D7" s="221"/>
      <c r="E7" s="221"/>
      <c r="F7" s="221"/>
      <c r="G7" s="221"/>
      <c r="H7" s="221"/>
      <c r="I7" s="221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193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193" customFormat="1" ht="15.75" customHeight="1" thickBot="1" x14ac:dyDescent="0.3">
      <c r="A9" s="222" t="s">
        <v>1</v>
      </c>
      <c r="B9" s="222"/>
      <c r="C9" s="222"/>
      <c r="D9" s="222"/>
      <c r="E9" s="222"/>
      <c r="F9" s="222"/>
      <c r="G9" s="222"/>
      <c r="H9" s="222"/>
      <c r="I9" s="222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193" customFormat="1" ht="13.5" customHeight="1" thickBot="1" x14ac:dyDescent="0.3">
      <c r="A10" s="223" t="s">
        <v>2</v>
      </c>
      <c r="B10" s="61"/>
      <c r="C10" s="61"/>
      <c r="D10" s="228" t="s">
        <v>3</v>
      </c>
      <c r="E10" s="229"/>
      <c r="F10" s="228" t="s">
        <v>46</v>
      </c>
      <c r="G10" s="229"/>
      <c r="H10" s="228" t="s">
        <v>75</v>
      </c>
      <c r="I10" s="229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193" customFormat="1" ht="56.25" customHeight="1" thickBot="1" x14ac:dyDescent="0.3">
      <c r="A11" s="224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193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193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SUM(D15:D16)</f>
        <v>1608.2999999999997</v>
      </c>
      <c r="E14" s="136">
        <f t="shared" si="0"/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54">
        <f>2991.7-134.4-1249</f>
        <v>1608.2999999999997</v>
      </c>
      <c r="E15" s="154">
        <v>231.7</v>
      </c>
      <c r="F15" s="154">
        <f>2922.4-32.4</f>
        <v>2890</v>
      </c>
      <c r="G15" s="154">
        <v>234.4</v>
      </c>
      <c r="H15" s="154">
        <f>2093.3+814.5</f>
        <v>2907.8</v>
      </c>
      <c r="I15" s="154">
        <v>235.8</v>
      </c>
      <c r="J15" s="83"/>
      <c r="K15" s="83">
        <f>D15*7.5/92.5</f>
        <v>130.40270270270267</v>
      </c>
      <c r="L15" s="83">
        <f>E15-K15</f>
        <v>101.29729729729732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13.5" thickBot="1" x14ac:dyDescent="0.3">
      <c r="A16" s="21"/>
      <c r="B16" s="68"/>
      <c r="C16" s="68"/>
      <c r="D16" s="139"/>
      <c r="E16" s="139"/>
      <c r="F16" s="139"/>
      <c r="G16" s="139"/>
      <c r="H16" s="139"/>
      <c r="I16" s="139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3"/>
      <c r="B17" s="65"/>
      <c r="C17" s="65"/>
      <c r="D17" s="140"/>
      <c r="E17" s="140"/>
      <c r="F17" s="140"/>
      <c r="G17" s="140"/>
      <c r="H17" s="140"/>
      <c r="I17" s="140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4" customFormat="1" ht="33.75" customHeight="1" x14ac:dyDescent="0.25">
      <c r="A18" s="12" t="s">
        <v>9</v>
      </c>
      <c r="B18" s="66"/>
      <c r="C18" s="66"/>
      <c r="D18" s="141">
        <f t="shared" ref="D18:I18" si="1">SUM(D19:D35)</f>
        <v>273762</v>
      </c>
      <c r="E18" s="141">
        <f t="shared" si="1"/>
        <v>19824.600000000002</v>
      </c>
      <c r="F18" s="141">
        <f t="shared" si="1"/>
        <v>116255.60000000002</v>
      </c>
      <c r="G18" s="141">
        <f t="shared" si="1"/>
        <v>6237.8000000000011</v>
      </c>
      <c r="H18" s="141">
        <f t="shared" si="1"/>
        <v>289874.30000000005</v>
      </c>
      <c r="I18" s="141">
        <f t="shared" si="1"/>
        <v>20249.7</v>
      </c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spans="1:19" s="25" customFormat="1" ht="64.5" customHeight="1" x14ac:dyDescent="0.25">
      <c r="A19" s="86" t="s">
        <v>10</v>
      </c>
      <c r="B19" s="69">
        <v>907</v>
      </c>
      <c r="C19" s="69" t="s">
        <v>49</v>
      </c>
      <c r="D19" s="154">
        <f>3098.6-17.5</f>
        <v>3081.1</v>
      </c>
      <c r="E19" s="154">
        <v>249.9</v>
      </c>
      <c r="F19" s="154">
        <f>3222.5-18.2</f>
        <v>3204.3</v>
      </c>
      <c r="G19" s="154">
        <f>259.8+0.1</f>
        <v>259.90000000000003</v>
      </c>
      <c r="H19" s="154">
        <f>3351.4-18.9</f>
        <v>3332.5</v>
      </c>
      <c r="I19" s="154">
        <f>270.2+0.1</f>
        <v>270.3</v>
      </c>
      <c r="J19" s="83"/>
      <c r="K19" s="83">
        <f t="shared" ref="K19:K30" si="2">D19*7.5/92.5</f>
        <v>249.81891891891891</v>
      </c>
      <c r="L19" s="83">
        <f t="shared" ref="L19:L30" si="3">E19-K19</f>
        <v>8.1081081081094908E-2</v>
      </c>
      <c r="M19" s="83">
        <f t="shared" ref="M19:M30" si="4">F19*7.5/92.5</f>
        <v>259.80810810810812</v>
      </c>
      <c r="N19" s="83">
        <f t="shared" ref="N19:N30" si="5">G19-M19</f>
        <v>9.1891891891918931E-2</v>
      </c>
      <c r="O19" s="83">
        <f t="shared" ref="O19:O30" si="6">H19*7.5/92.5</f>
        <v>270.20270270270271</v>
      </c>
      <c r="P19" s="83">
        <f t="shared" ref="P19:P30" si="7">I19-O19</f>
        <v>9.7297297297302521E-2</v>
      </c>
      <c r="Q19" s="83"/>
      <c r="R19" s="83"/>
      <c r="S19" s="83"/>
    </row>
    <row r="20" spans="1:19" s="18" customFormat="1" ht="66" customHeight="1" x14ac:dyDescent="0.25">
      <c r="A20" s="119" t="s">
        <v>11</v>
      </c>
      <c r="B20" s="100">
        <v>907</v>
      </c>
      <c r="C20" s="100" t="s">
        <v>50</v>
      </c>
      <c r="D20" s="143">
        <f>31477.3+2821.6</f>
        <v>34298.9</v>
      </c>
      <c r="E20" s="143"/>
      <c r="F20" s="143">
        <f>32355.9+1943</f>
        <v>34298.9</v>
      </c>
      <c r="G20" s="143"/>
      <c r="H20" s="143">
        <f>5500.5+29603.9</f>
        <v>35104.400000000001</v>
      </c>
      <c r="I20" s="143"/>
      <c r="J20" s="125"/>
      <c r="K20" s="83">
        <f t="shared" si="2"/>
        <v>2780.991891891892</v>
      </c>
      <c r="L20" s="83">
        <f t="shared" si="3"/>
        <v>-2780.991891891892</v>
      </c>
      <c r="M20" s="83">
        <f t="shared" si="4"/>
        <v>2780.991891891892</v>
      </c>
      <c r="N20" s="83">
        <f t="shared" si="5"/>
        <v>-2780.991891891892</v>
      </c>
      <c r="O20" s="83">
        <f t="shared" si="6"/>
        <v>2846.3027027027028</v>
      </c>
      <c r="P20" s="83">
        <f t="shared" si="7"/>
        <v>-2846.3027027027028</v>
      </c>
      <c r="Q20" s="125"/>
      <c r="R20" s="125"/>
      <c r="S20" s="125"/>
    </row>
    <row r="21" spans="1:19" s="18" customFormat="1" ht="129.75" customHeight="1" x14ac:dyDescent="0.25">
      <c r="A21" s="120" t="s">
        <v>68</v>
      </c>
      <c r="B21" s="97"/>
      <c r="C21" s="97"/>
      <c r="D21" s="144">
        <v>1352.8</v>
      </c>
      <c r="E21" s="143">
        <v>109.7</v>
      </c>
      <c r="F21" s="143">
        <v>1352.8</v>
      </c>
      <c r="G21" s="144">
        <v>109.7</v>
      </c>
      <c r="H21" s="143">
        <v>1352.8</v>
      </c>
      <c r="I21" s="145">
        <v>109.7</v>
      </c>
      <c r="J21" s="125"/>
      <c r="K21" s="83">
        <f t="shared" si="2"/>
        <v>109.68648648648649</v>
      </c>
      <c r="L21" s="83">
        <f t="shared" si="3"/>
        <v>1.3513513513515818E-2</v>
      </c>
      <c r="M21" s="83">
        <f t="shared" si="4"/>
        <v>109.68648648648649</v>
      </c>
      <c r="N21" s="83">
        <f t="shared" si="5"/>
        <v>1.3513513513515818E-2</v>
      </c>
      <c r="O21" s="83">
        <f t="shared" si="6"/>
        <v>109.68648648648649</v>
      </c>
      <c r="P21" s="83">
        <f t="shared" si="7"/>
        <v>1.3513513513515818E-2</v>
      </c>
      <c r="Q21" s="125"/>
      <c r="R21" s="125"/>
      <c r="S21" s="125"/>
    </row>
    <row r="22" spans="1:19" s="18" customFormat="1" ht="129.75" customHeight="1" x14ac:dyDescent="0.25">
      <c r="A22" s="120" t="s">
        <v>113</v>
      </c>
      <c r="D22" s="144">
        <v>5099.3999999999996</v>
      </c>
      <c r="E22" s="143"/>
      <c r="F22" s="143">
        <v>5026.8999999999996</v>
      </c>
      <c r="G22" s="144"/>
      <c r="H22" s="143">
        <v>5026.8999999999996</v>
      </c>
      <c r="I22" s="145"/>
      <c r="J22" s="125"/>
      <c r="K22" s="83">
        <f t="shared" si="2"/>
        <v>413.46486486486486</v>
      </c>
      <c r="L22" s="83">
        <f t="shared" si="3"/>
        <v>-413.46486486486486</v>
      </c>
      <c r="M22" s="83">
        <f t="shared" si="4"/>
        <v>407.58648648648648</v>
      </c>
      <c r="N22" s="83">
        <f t="shared" si="5"/>
        <v>-407.58648648648648</v>
      </c>
      <c r="O22" s="83">
        <f t="shared" si="6"/>
        <v>407.58648648648648</v>
      </c>
      <c r="P22" s="83">
        <f t="shared" si="7"/>
        <v>-407.58648648648648</v>
      </c>
      <c r="Q22" s="125"/>
      <c r="R22" s="125"/>
      <c r="S22" s="125"/>
    </row>
    <row r="23" spans="1:19" s="18" customFormat="1" ht="129.75" customHeight="1" x14ac:dyDescent="0.25">
      <c r="A23" s="121" t="s">
        <v>114</v>
      </c>
      <c r="B23" s="122"/>
      <c r="C23" s="122"/>
      <c r="D23" s="150">
        <v>79625.2</v>
      </c>
      <c r="E23" s="149">
        <f>6456+0.1</f>
        <v>6456.1</v>
      </c>
      <c r="F23" s="149"/>
      <c r="G23" s="150"/>
      <c r="H23" s="149"/>
      <c r="I23" s="151"/>
      <c r="J23" s="125"/>
      <c r="K23" s="83">
        <f t="shared" si="2"/>
        <v>6456.0972972972977</v>
      </c>
      <c r="L23" s="83">
        <f t="shared" si="3"/>
        <v>2.7027027026633732E-3</v>
      </c>
      <c r="M23" s="83">
        <f t="shared" si="4"/>
        <v>0</v>
      </c>
      <c r="N23" s="83">
        <f t="shared" si="5"/>
        <v>0</v>
      </c>
      <c r="O23" s="83">
        <f t="shared" si="6"/>
        <v>0</v>
      </c>
      <c r="P23" s="83">
        <f t="shared" si="7"/>
        <v>0</v>
      </c>
      <c r="Q23" s="125"/>
      <c r="R23" s="125"/>
      <c r="S23" s="125"/>
    </row>
    <row r="24" spans="1:19" s="18" customFormat="1" ht="129.75" customHeight="1" x14ac:dyDescent="0.25">
      <c r="A24" s="121" t="s">
        <v>125</v>
      </c>
      <c r="B24" s="122"/>
      <c r="C24" s="122"/>
      <c r="D24" s="150">
        <v>59816.6</v>
      </c>
      <c r="E24" s="149">
        <f>6979.5-2129.5</f>
        <v>4850</v>
      </c>
      <c r="F24" s="149"/>
      <c r="G24" s="150"/>
      <c r="H24" s="149"/>
      <c r="I24" s="151"/>
      <c r="J24" s="125"/>
      <c r="K24" s="83">
        <f t="shared" si="2"/>
        <v>4849.9945945945947</v>
      </c>
      <c r="L24" s="83">
        <f t="shared" si="3"/>
        <v>5.4054054053267464E-3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0" t="s">
        <v>115</v>
      </c>
      <c r="B25" s="97"/>
      <c r="C25" s="97"/>
      <c r="D25" s="144">
        <v>13653</v>
      </c>
      <c r="E25" s="143">
        <v>1107</v>
      </c>
      <c r="F25" s="143"/>
      <c r="G25" s="144"/>
      <c r="H25" s="143"/>
      <c r="I25" s="145"/>
      <c r="J25" s="125"/>
      <c r="K25" s="83">
        <f t="shared" si="2"/>
        <v>1107</v>
      </c>
      <c r="L25" s="83">
        <f t="shared" si="3"/>
        <v>0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84" customHeight="1" x14ac:dyDescent="0.25">
      <c r="A26" s="191" t="s">
        <v>134</v>
      </c>
      <c r="B26" s="187">
        <v>10692.7</v>
      </c>
      <c r="C26" s="191" t="s">
        <v>134</v>
      </c>
      <c r="D26" s="187">
        <v>10692.7</v>
      </c>
      <c r="E26" s="143">
        <v>867</v>
      </c>
      <c r="F26" s="143"/>
      <c r="G26" s="144"/>
      <c r="H26" s="143"/>
      <c r="I26" s="145"/>
      <c r="J26" s="125"/>
      <c r="K26" s="83"/>
      <c r="L26" s="83"/>
      <c r="M26" s="83"/>
      <c r="N26" s="83"/>
      <c r="O26" s="83"/>
      <c r="P26" s="83"/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4">
        <v>64287.5</v>
      </c>
      <c r="E27" s="143">
        <v>5212.5</v>
      </c>
      <c r="F27" s="143"/>
      <c r="G27" s="144"/>
      <c r="H27" s="143"/>
      <c r="I27" s="145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4"/>
      <c r="E28" s="143"/>
      <c r="F28" s="143">
        <v>67620.5</v>
      </c>
      <c r="G28" s="144">
        <v>5482.8</v>
      </c>
      <c r="H28" s="143">
        <v>235057.7</v>
      </c>
      <c r="I28" s="145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4"/>
      <c r="E29" s="143"/>
      <c r="F29" s="143">
        <v>1042.5999999999999</v>
      </c>
      <c r="G29" s="144">
        <f>84.6</f>
        <v>84.6</v>
      </c>
      <c r="H29" s="143"/>
      <c r="I29" s="145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50.25" customHeight="1" x14ac:dyDescent="0.25">
      <c r="A30" s="120" t="s">
        <v>123</v>
      </c>
      <c r="B30" s="97"/>
      <c r="C30" s="97"/>
      <c r="D30" s="144"/>
      <c r="E30" s="143"/>
      <c r="F30" s="143"/>
      <c r="G30" s="144"/>
      <c r="H30" s="143">
        <v>10000</v>
      </c>
      <c r="I30" s="145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8" customFormat="1" ht="62.25" customHeight="1" x14ac:dyDescent="0.25">
      <c r="A31" s="93" t="s">
        <v>137</v>
      </c>
      <c r="B31" s="95">
        <v>1854.8</v>
      </c>
      <c r="C31" s="93" t="s">
        <v>137</v>
      </c>
      <c r="D31" s="95">
        <v>1854.8</v>
      </c>
      <c r="E31" s="192">
        <v>150.4</v>
      </c>
      <c r="F31" s="192">
        <v>3709.6</v>
      </c>
      <c r="G31" s="192">
        <v>300.8</v>
      </c>
      <c r="H31" s="192"/>
      <c r="I31" s="192"/>
      <c r="J31" s="125"/>
      <c r="K31" s="83"/>
      <c r="L31" s="83"/>
      <c r="M31" s="83"/>
      <c r="N31" s="83"/>
      <c r="O31" s="83"/>
      <c r="P31" s="83"/>
      <c r="Q31" s="125"/>
      <c r="R31" s="125"/>
      <c r="S31" s="125"/>
    </row>
    <row r="32" spans="1:19" s="18" customFormat="1" ht="85.5" customHeight="1" x14ac:dyDescent="0.25">
      <c r="A32" s="93" t="s">
        <v>140</v>
      </c>
      <c r="B32" s="95"/>
      <c r="C32" s="93"/>
      <c r="D32" s="95"/>
      <c r="E32" s="192">
        <v>822</v>
      </c>
      <c r="F32" s="192"/>
      <c r="G32" s="192"/>
      <c r="H32" s="192"/>
      <c r="I32" s="192"/>
      <c r="J32" s="125"/>
      <c r="K32" s="83"/>
      <c r="L32" s="83"/>
      <c r="M32" s="83"/>
      <c r="N32" s="83"/>
      <c r="O32" s="83"/>
      <c r="P32" s="83"/>
      <c r="Q32" s="125"/>
      <c r="R32" s="125"/>
      <c r="S32" s="125"/>
    </row>
    <row r="33" spans="1:19" s="18" customFormat="1" ht="85.5" hidden="1" customHeight="1" x14ac:dyDescent="0.25">
      <c r="A33" s="120" t="s">
        <v>144</v>
      </c>
      <c r="B33" s="97"/>
      <c r="C33" s="97"/>
      <c r="D33" s="144"/>
      <c r="E33" s="143">
        <f>123.1-123.1</f>
        <v>0</v>
      </c>
      <c r="F33" s="143"/>
      <c r="G33" s="144"/>
      <c r="H33" s="143"/>
      <c r="I33" s="145"/>
      <c r="J33" s="125"/>
      <c r="K33" s="83">
        <f t="shared" ref="K33" si="8">D33*7.5/92.5</f>
        <v>0</v>
      </c>
      <c r="L33" s="83">
        <f t="shared" ref="L33" si="9">E33-K33</f>
        <v>0</v>
      </c>
      <c r="M33" s="83">
        <f t="shared" ref="M33" si="10">F33*7.5/92.5</f>
        <v>0</v>
      </c>
      <c r="N33" s="83">
        <f t="shared" ref="N33" si="11">G33-M33</f>
        <v>0</v>
      </c>
      <c r="O33" s="83">
        <f t="shared" ref="O33" si="12">H33*7.5/92.5</f>
        <v>0</v>
      </c>
      <c r="P33" s="83">
        <f t="shared" ref="P33" si="13">I33-O33</f>
        <v>0</v>
      </c>
      <c r="Q33" s="125"/>
      <c r="R33" s="125"/>
      <c r="S33" s="125"/>
    </row>
    <row r="34" spans="1:19" s="18" customFormat="1" ht="85.5" hidden="1" customHeight="1" x14ac:dyDescent="0.25">
      <c r="A34" s="120" t="s">
        <v>145</v>
      </c>
      <c r="B34" s="97"/>
      <c r="C34" s="97"/>
      <c r="D34" s="144"/>
      <c r="E34" s="143">
        <f>102-102</f>
        <v>0</v>
      </c>
      <c r="F34" s="143"/>
      <c r="G34" s="144"/>
      <c r="H34" s="143"/>
      <c r="I34" s="145"/>
      <c r="J34" s="125"/>
      <c r="K34" s="83">
        <f t="shared" ref="K34" si="14">D34*7.5/92.5</f>
        <v>0</v>
      </c>
      <c r="L34" s="83">
        <f t="shared" ref="L34" si="15">E34-K34</f>
        <v>0</v>
      </c>
      <c r="M34" s="83">
        <f t="shared" ref="M34" si="16">F34*7.5/92.5</f>
        <v>0</v>
      </c>
      <c r="N34" s="83">
        <f t="shared" ref="N34" si="17">G34-M34</f>
        <v>0</v>
      </c>
      <c r="O34" s="83">
        <f t="shared" ref="O34" si="18">H34*7.5/92.5</f>
        <v>0</v>
      </c>
      <c r="P34" s="83">
        <f t="shared" ref="P34" si="19">I34-O34</f>
        <v>0</v>
      </c>
      <c r="Q34" s="125"/>
      <c r="R34" s="125"/>
      <c r="S34" s="125"/>
    </row>
    <row r="35" spans="1:19" s="16" customFormat="1" ht="14.25" customHeight="1" thickBot="1" x14ac:dyDescent="0.3">
      <c r="A35" s="52"/>
      <c r="B35" s="80"/>
      <c r="C35" s="80"/>
      <c r="D35" s="153"/>
      <c r="E35" s="153"/>
      <c r="F35" s="153"/>
      <c r="G35" s="153"/>
      <c r="H35" s="153"/>
      <c r="I35" s="153"/>
      <c r="J35" s="83"/>
      <c r="K35" s="83"/>
      <c r="L35" s="83"/>
      <c r="M35" s="83"/>
      <c r="N35" s="83"/>
      <c r="O35" s="83"/>
      <c r="P35" s="83"/>
      <c r="Q35" s="83"/>
      <c r="R35" s="83"/>
      <c r="S35" s="83"/>
    </row>
    <row r="36" spans="1:19" s="16" customFormat="1" ht="13.5" thickBot="1" x14ac:dyDescent="0.3">
      <c r="A36" s="23"/>
      <c r="B36" s="65"/>
      <c r="C36" s="65"/>
      <c r="D36" s="140"/>
      <c r="E36" s="140"/>
      <c r="F36" s="140"/>
      <c r="G36" s="140"/>
      <c r="H36" s="140"/>
      <c r="I36" s="140"/>
      <c r="J36" s="83"/>
      <c r="K36" s="83"/>
      <c r="L36" s="83"/>
      <c r="M36" s="83"/>
      <c r="N36" s="83"/>
      <c r="O36" s="83"/>
      <c r="P36" s="83"/>
      <c r="Q36" s="83"/>
      <c r="R36" s="83"/>
      <c r="S36" s="83"/>
    </row>
    <row r="37" spans="1:19" s="14" customFormat="1" ht="45.75" customHeight="1" x14ac:dyDescent="0.25">
      <c r="A37" s="12" t="s">
        <v>12</v>
      </c>
      <c r="B37" s="66"/>
      <c r="C37" s="66"/>
      <c r="D37" s="136">
        <f t="shared" ref="D37:I37" si="20">SUM(D38:D82)</f>
        <v>208940.80000000002</v>
      </c>
      <c r="E37" s="136">
        <f t="shared" si="20"/>
        <v>9774.7999999999993</v>
      </c>
      <c r="F37" s="136">
        <f t="shared" si="20"/>
        <v>219122.4</v>
      </c>
      <c r="G37" s="136">
        <f t="shared" si="20"/>
        <v>6044.5</v>
      </c>
      <c r="H37" s="136">
        <f t="shared" si="20"/>
        <v>114467.2</v>
      </c>
      <c r="I37" s="136">
        <f t="shared" si="20"/>
        <v>1958.6999999999996</v>
      </c>
      <c r="J37" s="124"/>
      <c r="K37" s="124"/>
      <c r="L37" s="124"/>
      <c r="M37" s="124"/>
      <c r="N37" s="124"/>
      <c r="O37" s="124"/>
      <c r="P37" s="124"/>
      <c r="Q37" s="124"/>
      <c r="R37" s="124"/>
      <c r="S37" s="124"/>
    </row>
    <row r="38" spans="1:19" s="23" customFormat="1" ht="65.25" customHeight="1" x14ac:dyDescent="0.25">
      <c r="A38" s="27" t="s">
        <v>13</v>
      </c>
      <c r="B38" s="71">
        <v>914</v>
      </c>
      <c r="C38" s="71" t="s">
        <v>51</v>
      </c>
      <c r="D38" s="154">
        <f>102.1-0.2</f>
        <v>101.89999999999999</v>
      </c>
      <c r="E38" s="154">
        <v>8.3000000000000007</v>
      </c>
      <c r="F38" s="154">
        <f>107.1-0.5</f>
        <v>106.6</v>
      </c>
      <c r="G38" s="154">
        <v>8.6999999999999993</v>
      </c>
      <c r="H38" s="154">
        <f>110.9-0.6</f>
        <v>110.30000000000001</v>
      </c>
      <c r="I38" s="154">
        <v>9</v>
      </c>
      <c r="J38" s="126"/>
      <c r="K38" s="83">
        <f t="shared" ref="K38:K76" si="21">D38*7.5/92.5</f>
        <v>8.262162162162161</v>
      </c>
      <c r="L38" s="83">
        <f t="shared" ref="L38:L76" si="22">E38-K38</f>
        <v>3.7837837837839672E-2</v>
      </c>
      <c r="M38" s="83">
        <f t="shared" ref="M38:M76" si="23">F38*7.5/92.5</f>
        <v>8.6432432432432424</v>
      </c>
      <c r="N38" s="83">
        <f t="shared" ref="N38:N76" si="24">G38-M38</f>
        <v>5.6756756756756843E-2</v>
      </c>
      <c r="O38" s="83">
        <f t="shared" ref="O38:O76" si="25">H38*7.5/92.5</f>
        <v>8.9432432432432449</v>
      </c>
      <c r="P38" s="83">
        <f t="shared" ref="P38:P76" si="26">I38-O38</f>
        <v>5.6756756756755067E-2</v>
      </c>
      <c r="Q38" s="126"/>
      <c r="R38" s="126"/>
      <c r="S38" s="126"/>
    </row>
    <row r="39" spans="1:19" s="23" customFormat="1" ht="68.25" customHeight="1" x14ac:dyDescent="0.25">
      <c r="A39" s="27" t="s">
        <v>14</v>
      </c>
      <c r="B39" s="71">
        <v>914</v>
      </c>
      <c r="C39" s="71" t="s">
        <v>51</v>
      </c>
      <c r="D39" s="154">
        <f>188.4-0.3</f>
        <v>188.1</v>
      </c>
      <c r="E39" s="154">
        <v>15.3</v>
      </c>
      <c r="F39" s="154">
        <f>198.8-1.1</f>
        <v>197.70000000000002</v>
      </c>
      <c r="G39" s="154">
        <v>16.100000000000001</v>
      </c>
      <c r="H39" s="154">
        <f>206.8-1.2</f>
        <v>205.60000000000002</v>
      </c>
      <c r="I39" s="154">
        <v>16.7</v>
      </c>
      <c r="J39" s="126"/>
      <c r="K39" s="83">
        <f t="shared" si="21"/>
        <v>15.251351351351351</v>
      </c>
      <c r="L39" s="83">
        <f t="shared" si="22"/>
        <v>4.8648648648649484E-2</v>
      </c>
      <c r="M39" s="83">
        <f t="shared" si="23"/>
        <v>16.029729729729731</v>
      </c>
      <c r="N39" s="83">
        <f t="shared" si="24"/>
        <v>7.0270270270270885E-2</v>
      </c>
      <c r="O39" s="83">
        <f t="shared" si="25"/>
        <v>16.670270270270272</v>
      </c>
      <c r="P39" s="83">
        <f t="shared" si="26"/>
        <v>2.9729729729726984E-2</v>
      </c>
      <c r="Q39" s="126"/>
      <c r="R39" s="126"/>
      <c r="S39" s="126"/>
    </row>
    <row r="40" spans="1:19" s="23" customFormat="1" ht="75.75" hidden="1" customHeight="1" x14ac:dyDescent="0.25">
      <c r="A40" s="27" t="s">
        <v>78</v>
      </c>
      <c r="B40" s="71">
        <v>914</v>
      </c>
      <c r="C40" s="71" t="s">
        <v>52</v>
      </c>
      <c r="D40" s="154">
        <f>11775.9-11775.9</f>
        <v>0</v>
      </c>
      <c r="E40" s="154"/>
      <c r="F40" s="154"/>
      <c r="G40" s="154"/>
      <c r="H40" s="154"/>
      <c r="I40" s="154"/>
      <c r="J40" s="126"/>
      <c r="K40" s="83">
        <f t="shared" si="21"/>
        <v>0</v>
      </c>
      <c r="L40" s="83">
        <f t="shared" si="22"/>
        <v>0</v>
      </c>
      <c r="M40" s="83">
        <f t="shared" si="23"/>
        <v>0</v>
      </c>
      <c r="N40" s="83">
        <f t="shared" si="24"/>
        <v>0</v>
      </c>
      <c r="O40" s="83">
        <f t="shared" si="25"/>
        <v>0</v>
      </c>
      <c r="P40" s="83">
        <f t="shared" si="26"/>
        <v>0</v>
      </c>
      <c r="Q40" s="126"/>
      <c r="R40" s="126"/>
      <c r="S40" s="126"/>
    </row>
    <row r="41" spans="1:19" s="23" customFormat="1" ht="87" customHeight="1" x14ac:dyDescent="0.25">
      <c r="A41" s="28" t="s">
        <v>15</v>
      </c>
      <c r="B41" s="67">
        <v>914</v>
      </c>
      <c r="C41" s="67" t="s">
        <v>53</v>
      </c>
      <c r="D41" s="143">
        <v>10570.1</v>
      </c>
      <c r="E41" s="154">
        <v>857.4</v>
      </c>
      <c r="F41" s="143">
        <v>10570.1</v>
      </c>
      <c r="G41" s="154">
        <v>857.4</v>
      </c>
      <c r="H41" s="143">
        <v>10570.1</v>
      </c>
      <c r="I41" s="154">
        <v>857.4</v>
      </c>
      <c r="J41" s="126"/>
      <c r="K41" s="83">
        <f t="shared" si="21"/>
        <v>857.03513513513508</v>
      </c>
      <c r="L41" s="83">
        <f t="shared" si="22"/>
        <v>0.36486486486489866</v>
      </c>
      <c r="M41" s="83">
        <f t="shared" si="23"/>
        <v>857.03513513513508</v>
      </c>
      <c r="N41" s="83">
        <f t="shared" si="24"/>
        <v>0.36486486486489866</v>
      </c>
      <c r="O41" s="83">
        <f t="shared" si="25"/>
        <v>857.03513513513508</v>
      </c>
      <c r="P41" s="83">
        <f t="shared" si="26"/>
        <v>0.36486486486489866</v>
      </c>
      <c r="Q41" s="126"/>
      <c r="R41" s="126"/>
      <c r="S41" s="126"/>
    </row>
    <row r="42" spans="1:19" s="23" customFormat="1" ht="45" customHeight="1" x14ac:dyDescent="0.25">
      <c r="A42" s="30" t="s">
        <v>81</v>
      </c>
      <c r="B42" s="72">
        <v>914</v>
      </c>
      <c r="C42" s="72" t="s">
        <v>52</v>
      </c>
      <c r="D42" s="157">
        <f>1339.3-209.2</f>
        <v>1130.0999999999999</v>
      </c>
      <c r="E42" s="138">
        <f>91.7-77.1</f>
        <v>14.600000000000009</v>
      </c>
      <c r="F42" s="157"/>
      <c r="G42" s="138"/>
      <c r="H42" s="157">
        <v>22593.7</v>
      </c>
      <c r="I42" s="138">
        <f>1832-1574.9</f>
        <v>257.09999999999991</v>
      </c>
      <c r="J42" s="126"/>
      <c r="K42" s="83">
        <f t="shared" si="21"/>
        <v>91.629729729729732</v>
      </c>
      <c r="L42" s="83">
        <f t="shared" si="22"/>
        <v>-77.029729729729723</v>
      </c>
      <c r="M42" s="83">
        <f t="shared" si="23"/>
        <v>0</v>
      </c>
      <c r="N42" s="83">
        <f t="shared" si="24"/>
        <v>0</v>
      </c>
      <c r="O42" s="83">
        <f t="shared" si="25"/>
        <v>1831.9216216216216</v>
      </c>
      <c r="P42" s="83">
        <f t="shared" si="26"/>
        <v>-1574.8216216216217</v>
      </c>
      <c r="Q42" s="126"/>
      <c r="R42" s="126"/>
      <c r="S42" s="126"/>
    </row>
    <row r="43" spans="1:19" s="23" customFormat="1" ht="64.5" hidden="1" customHeight="1" x14ac:dyDescent="0.25">
      <c r="A43" s="92" t="s">
        <v>60</v>
      </c>
      <c r="B43" s="70"/>
      <c r="C43" s="70"/>
      <c r="D43" s="157">
        <f>5061.8-5061.8</f>
        <v>0</v>
      </c>
      <c r="E43" s="157"/>
      <c r="F43" s="138"/>
      <c r="G43" s="138"/>
      <c r="H43" s="157"/>
      <c r="I43" s="138"/>
      <c r="J43" s="126"/>
      <c r="K43" s="83">
        <f t="shared" si="21"/>
        <v>0</v>
      </c>
      <c r="L43" s="83">
        <f t="shared" si="22"/>
        <v>0</v>
      </c>
      <c r="M43" s="83">
        <f t="shared" si="23"/>
        <v>0</v>
      </c>
      <c r="N43" s="83">
        <f t="shared" si="24"/>
        <v>0</v>
      </c>
      <c r="O43" s="83">
        <f t="shared" si="25"/>
        <v>0</v>
      </c>
      <c r="P43" s="83">
        <f t="shared" si="26"/>
        <v>0</v>
      </c>
      <c r="Q43" s="126"/>
      <c r="R43" s="126"/>
      <c r="S43" s="126"/>
    </row>
    <row r="44" spans="1:19" s="23" customFormat="1" ht="64.5" customHeight="1" x14ac:dyDescent="0.25">
      <c r="A44" s="31" t="s">
        <v>83</v>
      </c>
      <c r="B44" s="91"/>
      <c r="C44" s="70"/>
      <c r="D44" s="157"/>
      <c r="E44" s="157"/>
      <c r="F44" s="138">
        <v>2970</v>
      </c>
      <c r="G44" s="138">
        <v>30</v>
      </c>
      <c r="H44" s="138"/>
      <c r="I44" s="138"/>
      <c r="J44" s="126"/>
      <c r="K44" s="83">
        <f t="shared" si="21"/>
        <v>0</v>
      </c>
      <c r="L44" s="83">
        <f t="shared" si="22"/>
        <v>0</v>
      </c>
      <c r="M44" s="83">
        <f t="shared" ref="M44:M49" si="27">F44*1/99</f>
        <v>30</v>
      </c>
      <c r="N44" s="83">
        <f t="shared" si="24"/>
        <v>0</v>
      </c>
      <c r="O44" s="83">
        <f t="shared" si="25"/>
        <v>0</v>
      </c>
      <c r="P44" s="83">
        <f t="shared" si="26"/>
        <v>0</v>
      </c>
      <c r="Q44" s="126"/>
      <c r="R44" s="126"/>
      <c r="S44" s="126"/>
    </row>
    <row r="45" spans="1:19" s="23" customFormat="1" ht="64.5" customHeight="1" x14ac:dyDescent="0.25">
      <c r="A45" s="31" t="s">
        <v>84</v>
      </c>
      <c r="B45" s="91"/>
      <c r="C45" s="70"/>
      <c r="D45" s="157"/>
      <c r="E45" s="157"/>
      <c r="F45" s="138">
        <v>6138</v>
      </c>
      <c r="G45" s="138">
        <v>62</v>
      </c>
      <c r="H45" s="138"/>
      <c r="I45" s="138"/>
      <c r="J45" s="126"/>
      <c r="K45" s="83">
        <f t="shared" si="21"/>
        <v>0</v>
      </c>
      <c r="L45" s="83">
        <f t="shared" si="22"/>
        <v>0</v>
      </c>
      <c r="M45" s="83">
        <f t="shared" si="27"/>
        <v>62</v>
      </c>
      <c r="N45" s="83">
        <f>G45-M45</f>
        <v>0</v>
      </c>
      <c r="O45" s="83">
        <f t="shared" si="25"/>
        <v>0</v>
      </c>
      <c r="P45" s="83">
        <f t="shared" si="26"/>
        <v>0</v>
      </c>
      <c r="Q45" s="126"/>
      <c r="R45" s="126"/>
      <c r="S45" s="126"/>
    </row>
    <row r="46" spans="1:19" s="23" customFormat="1" ht="64.5" customHeight="1" x14ac:dyDescent="0.25">
      <c r="A46" s="31" t="s">
        <v>65</v>
      </c>
      <c r="B46" s="91"/>
      <c r="C46" s="70"/>
      <c r="D46" s="157"/>
      <c r="E46" s="157"/>
      <c r="F46" s="138">
        <v>7128</v>
      </c>
      <c r="G46" s="138">
        <v>72</v>
      </c>
      <c r="H46" s="138"/>
      <c r="I46" s="138"/>
      <c r="J46" s="126"/>
      <c r="K46" s="83">
        <f t="shared" si="21"/>
        <v>0</v>
      </c>
      <c r="L46" s="83">
        <f t="shared" si="22"/>
        <v>0</v>
      </c>
      <c r="M46" s="83">
        <f t="shared" si="27"/>
        <v>72</v>
      </c>
      <c r="N46" s="83">
        <f>G46-M46</f>
        <v>0</v>
      </c>
      <c r="O46" s="83">
        <f t="shared" si="25"/>
        <v>0</v>
      </c>
      <c r="P46" s="83">
        <f t="shared" si="26"/>
        <v>0</v>
      </c>
      <c r="Q46" s="126"/>
      <c r="R46" s="126"/>
      <c r="S46" s="126"/>
    </row>
    <row r="47" spans="1:19" s="23" customFormat="1" ht="64.5" customHeight="1" x14ac:dyDescent="0.25">
      <c r="A47" s="31" t="s">
        <v>85</v>
      </c>
      <c r="B47" s="91"/>
      <c r="C47" s="70"/>
      <c r="D47" s="157"/>
      <c r="E47" s="157"/>
      <c r="F47" s="138">
        <v>2178</v>
      </c>
      <c r="G47" s="138">
        <v>22</v>
      </c>
      <c r="H47" s="138"/>
      <c r="I47" s="138"/>
      <c r="J47" s="126"/>
      <c r="K47" s="83">
        <f t="shared" si="21"/>
        <v>0</v>
      </c>
      <c r="L47" s="83">
        <f t="shared" si="22"/>
        <v>0</v>
      </c>
      <c r="M47" s="83">
        <f t="shared" si="27"/>
        <v>22</v>
      </c>
      <c r="N47" s="83">
        <f>G47-M47</f>
        <v>0</v>
      </c>
      <c r="O47" s="83">
        <f t="shared" si="25"/>
        <v>0</v>
      </c>
      <c r="P47" s="83">
        <f t="shared" si="26"/>
        <v>0</v>
      </c>
      <c r="Q47" s="126"/>
      <c r="R47" s="126"/>
      <c r="S47" s="126"/>
    </row>
    <row r="48" spans="1:19" s="23" customFormat="1" ht="64.5" customHeight="1" x14ac:dyDescent="0.25">
      <c r="A48" s="31" t="s">
        <v>86</v>
      </c>
      <c r="B48" s="91"/>
      <c r="C48" s="70"/>
      <c r="D48" s="157"/>
      <c r="E48" s="157"/>
      <c r="F48" s="138">
        <v>3465</v>
      </c>
      <c r="G48" s="138">
        <v>35</v>
      </c>
      <c r="H48" s="138"/>
      <c r="I48" s="138"/>
      <c r="J48" s="126"/>
      <c r="K48" s="83">
        <f t="shared" si="21"/>
        <v>0</v>
      </c>
      <c r="L48" s="83">
        <f t="shared" si="22"/>
        <v>0</v>
      </c>
      <c r="M48" s="83">
        <f t="shared" si="27"/>
        <v>35</v>
      </c>
      <c r="N48" s="83">
        <f>G48-M48</f>
        <v>0</v>
      </c>
      <c r="O48" s="83">
        <f t="shared" si="25"/>
        <v>0</v>
      </c>
      <c r="P48" s="83">
        <f t="shared" si="26"/>
        <v>0</v>
      </c>
      <c r="Q48" s="126"/>
      <c r="R48" s="126"/>
      <c r="S48" s="126"/>
    </row>
    <row r="49" spans="1:19" s="23" customFormat="1" ht="64.5" customHeight="1" x14ac:dyDescent="0.25">
      <c r="A49" s="31" t="s">
        <v>87</v>
      </c>
      <c r="B49" s="91"/>
      <c r="C49" s="70"/>
      <c r="D49" s="157"/>
      <c r="E49" s="157"/>
      <c r="F49" s="138">
        <v>5544</v>
      </c>
      <c r="G49" s="138">
        <v>56</v>
      </c>
      <c r="H49" s="138"/>
      <c r="I49" s="138"/>
      <c r="J49" s="126"/>
      <c r="K49" s="83">
        <f t="shared" si="21"/>
        <v>0</v>
      </c>
      <c r="L49" s="83">
        <f t="shared" si="22"/>
        <v>0</v>
      </c>
      <c r="M49" s="83">
        <f t="shared" si="27"/>
        <v>56</v>
      </c>
      <c r="N49" s="83">
        <f>G49-M49</f>
        <v>0</v>
      </c>
      <c r="O49" s="83">
        <f t="shared" si="25"/>
        <v>0</v>
      </c>
      <c r="P49" s="83">
        <f t="shared" si="26"/>
        <v>0</v>
      </c>
      <c r="Q49" s="126"/>
      <c r="R49" s="126"/>
      <c r="S49" s="126"/>
    </row>
    <row r="50" spans="1:19" s="23" customFormat="1" ht="64.5" hidden="1" customHeight="1" x14ac:dyDescent="0.25">
      <c r="A50" s="31" t="s">
        <v>89</v>
      </c>
      <c r="B50" s="91"/>
      <c r="C50" s="70"/>
      <c r="D50" s="157"/>
      <c r="E50" s="157"/>
      <c r="F50" s="138"/>
      <c r="G50" s="138"/>
      <c r="H50" s="138">
        <f>10695.9-10695.9</f>
        <v>0</v>
      </c>
      <c r="I50" s="138"/>
      <c r="J50" s="126"/>
      <c r="K50" s="83">
        <f t="shared" si="21"/>
        <v>0</v>
      </c>
      <c r="L50" s="83">
        <f t="shared" si="22"/>
        <v>0</v>
      </c>
      <c r="M50" s="83">
        <f t="shared" si="23"/>
        <v>0</v>
      </c>
      <c r="N50" s="83">
        <f t="shared" si="24"/>
        <v>0</v>
      </c>
      <c r="O50" s="83">
        <f t="shared" si="25"/>
        <v>0</v>
      </c>
      <c r="P50" s="83">
        <f t="shared" si="26"/>
        <v>0</v>
      </c>
      <c r="Q50" s="126"/>
      <c r="R50" s="126"/>
      <c r="S50" s="126"/>
    </row>
    <row r="51" spans="1:19" s="23" customFormat="1" ht="64.5" hidden="1" customHeight="1" x14ac:dyDescent="0.25">
      <c r="A51" s="31" t="s">
        <v>90</v>
      </c>
      <c r="B51" s="91"/>
      <c r="C51" s="70"/>
      <c r="D51" s="157"/>
      <c r="E51" s="157"/>
      <c r="F51" s="138"/>
      <c r="G51" s="138"/>
      <c r="H51" s="138">
        <f>6938.5-6938.5</f>
        <v>0</v>
      </c>
      <c r="I51" s="138"/>
      <c r="J51" s="126"/>
      <c r="K51" s="83">
        <f t="shared" si="21"/>
        <v>0</v>
      </c>
      <c r="L51" s="83">
        <f t="shared" si="22"/>
        <v>0</v>
      </c>
      <c r="M51" s="83">
        <f t="shared" si="23"/>
        <v>0</v>
      </c>
      <c r="N51" s="83">
        <f t="shared" si="24"/>
        <v>0</v>
      </c>
      <c r="O51" s="83">
        <f t="shared" si="25"/>
        <v>0</v>
      </c>
      <c r="P51" s="83">
        <f t="shared" si="26"/>
        <v>0</v>
      </c>
      <c r="Q51" s="126"/>
      <c r="R51" s="126"/>
      <c r="S51" s="126"/>
    </row>
    <row r="52" spans="1:19" s="23" customFormat="1" ht="64.5" hidden="1" customHeight="1" x14ac:dyDescent="0.25">
      <c r="A52" s="31" t="s">
        <v>91</v>
      </c>
      <c r="B52" s="91"/>
      <c r="C52" s="70"/>
      <c r="D52" s="157"/>
      <c r="E52" s="157"/>
      <c r="F52" s="138"/>
      <c r="G52" s="138"/>
      <c r="H52" s="138">
        <f>2249.2-2249.2</f>
        <v>0</v>
      </c>
      <c r="I52" s="138"/>
      <c r="J52" s="126"/>
      <c r="K52" s="83">
        <f t="shared" si="21"/>
        <v>0</v>
      </c>
      <c r="L52" s="83">
        <f t="shared" si="22"/>
        <v>0</v>
      </c>
      <c r="M52" s="83">
        <f t="shared" si="23"/>
        <v>0</v>
      </c>
      <c r="N52" s="83">
        <f t="shared" si="24"/>
        <v>0</v>
      </c>
      <c r="O52" s="83">
        <f t="shared" si="25"/>
        <v>0</v>
      </c>
      <c r="P52" s="83">
        <f t="shared" si="26"/>
        <v>0</v>
      </c>
      <c r="Q52" s="126"/>
      <c r="R52" s="126"/>
      <c r="S52" s="126"/>
    </row>
    <row r="53" spans="1:19" s="23" customFormat="1" ht="64.5" hidden="1" customHeight="1" x14ac:dyDescent="0.25">
      <c r="A53" s="31" t="s">
        <v>92</v>
      </c>
      <c r="B53" s="91"/>
      <c r="C53" s="70"/>
      <c r="D53" s="157"/>
      <c r="E53" s="157"/>
      <c r="F53" s="138"/>
      <c r="G53" s="138"/>
      <c r="H53" s="138">
        <f>2313.5-2313.5</f>
        <v>0</v>
      </c>
      <c r="I53" s="138"/>
      <c r="J53" s="126"/>
      <c r="K53" s="83">
        <f t="shared" si="21"/>
        <v>0</v>
      </c>
      <c r="L53" s="83">
        <f t="shared" si="22"/>
        <v>0</v>
      </c>
      <c r="M53" s="83">
        <f t="shared" si="23"/>
        <v>0</v>
      </c>
      <c r="N53" s="83">
        <f t="shared" si="24"/>
        <v>0</v>
      </c>
      <c r="O53" s="83">
        <f t="shared" si="25"/>
        <v>0</v>
      </c>
      <c r="P53" s="83">
        <f t="shared" si="26"/>
        <v>0</v>
      </c>
      <c r="Q53" s="126"/>
      <c r="R53" s="126"/>
      <c r="S53" s="126"/>
    </row>
    <row r="54" spans="1:19" s="23" customFormat="1" ht="64.5" hidden="1" customHeight="1" x14ac:dyDescent="0.25">
      <c r="A54" s="31" t="s">
        <v>93</v>
      </c>
      <c r="B54" s="91"/>
      <c r="C54" s="70"/>
      <c r="D54" s="157"/>
      <c r="E54" s="157"/>
      <c r="F54" s="138"/>
      <c r="G54" s="138"/>
      <c r="H54" s="138">
        <f>4010-4010</f>
        <v>0</v>
      </c>
      <c r="I54" s="138"/>
      <c r="J54" s="126"/>
      <c r="K54" s="83">
        <f t="shared" si="21"/>
        <v>0</v>
      </c>
      <c r="L54" s="83">
        <f t="shared" si="22"/>
        <v>0</v>
      </c>
      <c r="M54" s="83">
        <f t="shared" si="23"/>
        <v>0</v>
      </c>
      <c r="N54" s="83">
        <f t="shared" si="24"/>
        <v>0</v>
      </c>
      <c r="O54" s="83">
        <f t="shared" si="25"/>
        <v>0</v>
      </c>
      <c r="P54" s="83">
        <f t="shared" si="26"/>
        <v>0</v>
      </c>
      <c r="Q54" s="126"/>
      <c r="R54" s="126"/>
      <c r="S54" s="126"/>
    </row>
    <row r="55" spans="1:19" s="23" customFormat="1" ht="64.5" hidden="1" customHeight="1" x14ac:dyDescent="0.25">
      <c r="A55" s="31" t="s">
        <v>94</v>
      </c>
      <c r="B55" s="91"/>
      <c r="C55" s="70"/>
      <c r="D55" s="157"/>
      <c r="E55" s="157"/>
      <c r="F55" s="138"/>
      <c r="G55" s="138"/>
      <c r="H55" s="138">
        <f>24897.5-24897.5</f>
        <v>0</v>
      </c>
      <c r="I55" s="138"/>
      <c r="J55" s="126"/>
      <c r="K55" s="83">
        <f t="shared" si="21"/>
        <v>0</v>
      </c>
      <c r="L55" s="83">
        <f t="shared" si="22"/>
        <v>0</v>
      </c>
      <c r="M55" s="83">
        <f t="shared" si="23"/>
        <v>0</v>
      </c>
      <c r="N55" s="83">
        <f t="shared" si="24"/>
        <v>0</v>
      </c>
      <c r="O55" s="83">
        <f t="shared" si="25"/>
        <v>0</v>
      </c>
      <c r="P55" s="83">
        <f t="shared" si="26"/>
        <v>0</v>
      </c>
      <c r="Q55" s="126"/>
      <c r="R55" s="126"/>
      <c r="S55" s="126"/>
    </row>
    <row r="56" spans="1:19" s="23" customFormat="1" ht="64.5" hidden="1" customHeight="1" x14ac:dyDescent="0.25">
      <c r="A56" s="90" t="s">
        <v>95</v>
      </c>
      <c r="B56" s="91"/>
      <c r="C56" s="70"/>
      <c r="D56" s="157"/>
      <c r="E56" s="157"/>
      <c r="F56" s="138"/>
      <c r="G56" s="138"/>
      <c r="H56" s="138">
        <f>12455.8-12455.8</f>
        <v>0</v>
      </c>
      <c r="I56" s="138"/>
      <c r="J56" s="126"/>
      <c r="K56" s="83">
        <f t="shared" si="21"/>
        <v>0</v>
      </c>
      <c r="L56" s="83">
        <f t="shared" si="22"/>
        <v>0</v>
      </c>
      <c r="M56" s="83">
        <f t="shared" si="23"/>
        <v>0</v>
      </c>
      <c r="N56" s="83">
        <f t="shared" si="24"/>
        <v>0</v>
      </c>
      <c r="O56" s="83">
        <f t="shared" si="25"/>
        <v>0</v>
      </c>
      <c r="P56" s="83">
        <f t="shared" si="26"/>
        <v>0</v>
      </c>
      <c r="Q56" s="126"/>
      <c r="R56" s="126"/>
      <c r="S56" s="126"/>
    </row>
    <row r="57" spans="1:19" s="23" customFormat="1" ht="64.5" hidden="1" customHeight="1" x14ac:dyDescent="0.25">
      <c r="A57" s="92" t="s">
        <v>96</v>
      </c>
      <c r="B57" s="91"/>
      <c r="C57" s="70"/>
      <c r="D57" s="157"/>
      <c r="E57" s="157"/>
      <c r="F57" s="138"/>
      <c r="G57" s="138"/>
      <c r="H57" s="138">
        <f>1409.6-1409.6</f>
        <v>0</v>
      </c>
      <c r="I57" s="138"/>
      <c r="J57" s="126"/>
      <c r="K57" s="83">
        <f t="shared" si="21"/>
        <v>0</v>
      </c>
      <c r="L57" s="83">
        <f t="shared" si="22"/>
        <v>0</v>
      </c>
      <c r="M57" s="83">
        <f t="shared" si="23"/>
        <v>0</v>
      </c>
      <c r="N57" s="83">
        <f t="shared" si="24"/>
        <v>0</v>
      </c>
      <c r="O57" s="83">
        <f t="shared" si="25"/>
        <v>0</v>
      </c>
      <c r="P57" s="83">
        <f t="shared" si="26"/>
        <v>0</v>
      </c>
      <c r="Q57" s="126"/>
      <c r="R57" s="126"/>
      <c r="S57" s="126"/>
    </row>
    <row r="58" spans="1:19" s="23" customFormat="1" ht="64.5" customHeight="1" x14ac:dyDescent="0.25">
      <c r="A58" s="90" t="s">
        <v>97</v>
      </c>
      <c r="B58" s="91"/>
      <c r="C58" s="70"/>
      <c r="D58" s="157"/>
      <c r="E58" s="157"/>
      <c r="F58" s="138"/>
      <c r="G58" s="138"/>
      <c r="H58" s="138">
        <f>7780+2838.6</f>
        <v>10618.6</v>
      </c>
      <c r="I58" s="138">
        <v>107.3</v>
      </c>
      <c r="J58" s="126"/>
      <c r="K58" s="83">
        <f t="shared" si="21"/>
        <v>0</v>
      </c>
      <c r="L58" s="83">
        <f t="shared" si="22"/>
        <v>0</v>
      </c>
      <c r="M58" s="83">
        <f t="shared" si="23"/>
        <v>0</v>
      </c>
      <c r="N58" s="83">
        <f t="shared" si="24"/>
        <v>0</v>
      </c>
      <c r="O58" s="83">
        <f t="shared" ref="O58:O67" si="28">H58*1/99</f>
        <v>107.25858585858586</v>
      </c>
      <c r="P58" s="83">
        <f t="shared" si="26"/>
        <v>4.1414141414136907E-2</v>
      </c>
      <c r="Q58" s="126"/>
      <c r="R58" s="126"/>
      <c r="S58" s="126"/>
    </row>
    <row r="59" spans="1:19" s="23" customFormat="1" ht="64.5" customHeight="1" x14ac:dyDescent="0.25">
      <c r="A59" s="90" t="s">
        <v>98</v>
      </c>
      <c r="B59" s="91"/>
      <c r="C59" s="70"/>
      <c r="D59" s="157"/>
      <c r="E59" s="157"/>
      <c r="F59" s="138"/>
      <c r="G59" s="138"/>
      <c r="H59" s="138">
        <f>4798.7+1755.8</f>
        <v>6554.5</v>
      </c>
      <c r="I59" s="138">
        <f>66.2+0.1</f>
        <v>66.3</v>
      </c>
      <c r="J59" s="126"/>
      <c r="K59" s="83">
        <f t="shared" si="21"/>
        <v>0</v>
      </c>
      <c r="L59" s="83">
        <f t="shared" si="22"/>
        <v>0</v>
      </c>
      <c r="M59" s="83">
        <f t="shared" si="23"/>
        <v>0</v>
      </c>
      <c r="N59" s="83">
        <f t="shared" si="24"/>
        <v>0</v>
      </c>
      <c r="O59" s="83">
        <f t="shared" si="28"/>
        <v>66.207070707070713</v>
      </c>
      <c r="P59" s="83">
        <f t="shared" si="26"/>
        <v>9.2929292929284202E-2</v>
      </c>
      <c r="Q59" s="126"/>
      <c r="R59" s="126"/>
      <c r="S59" s="126"/>
    </row>
    <row r="60" spans="1:19" s="23" customFormat="1" ht="64.5" customHeight="1" x14ac:dyDescent="0.25">
      <c r="A60" s="90" t="s">
        <v>99</v>
      </c>
      <c r="B60" s="91"/>
      <c r="C60" s="70"/>
      <c r="D60" s="157"/>
      <c r="E60" s="157"/>
      <c r="F60" s="138"/>
      <c r="G60" s="138"/>
      <c r="H60" s="138">
        <f>25644.3+2176.1</f>
        <v>27820.399999999998</v>
      </c>
      <c r="I60" s="138">
        <v>281.10000000000002</v>
      </c>
      <c r="J60" s="126"/>
      <c r="K60" s="83">
        <f t="shared" si="21"/>
        <v>0</v>
      </c>
      <c r="L60" s="83">
        <f t="shared" si="22"/>
        <v>0</v>
      </c>
      <c r="M60" s="83">
        <f t="shared" si="23"/>
        <v>0</v>
      </c>
      <c r="N60" s="83">
        <f t="shared" si="24"/>
        <v>0</v>
      </c>
      <c r="O60" s="83">
        <f t="shared" si="28"/>
        <v>281.01414141414142</v>
      </c>
      <c r="P60" s="83">
        <f t="shared" si="26"/>
        <v>8.585858585860251E-2</v>
      </c>
      <c r="Q60" s="126"/>
      <c r="R60" s="126"/>
      <c r="S60" s="126"/>
    </row>
    <row r="61" spans="1:19" s="23" customFormat="1" ht="64.5" customHeight="1" x14ac:dyDescent="0.25">
      <c r="A61" s="90" t="s">
        <v>100</v>
      </c>
      <c r="B61" s="91"/>
      <c r="C61" s="70"/>
      <c r="D61" s="157"/>
      <c r="E61" s="157"/>
      <c r="F61" s="138"/>
      <c r="G61" s="138"/>
      <c r="H61" s="138">
        <f>6658.9+548.9</f>
        <v>7207.7999999999993</v>
      </c>
      <c r="I61" s="138">
        <f>72.8+0.1</f>
        <v>72.899999999999991</v>
      </c>
      <c r="J61" s="126"/>
      <c r="K61" s="83">
        <f t="shared" si="21"/>
        <v>0</v>
      </c>
      <c r="L61" s="83">
        <f t="shared" si="22"/>
        <v>0</v>
      </c>
      <c r="M61" s="83">
        <f t="shared" si="23"/>
        <v>0</v>
      </c>
      <c r="N61" s="83">
        <f t="shared" si="24"/>
        <v>0</v>
      </c>
      <c r="O61" s="83">
        <f t="shared" si="28"/>
        <v>72.806060606060598</v>
      </c>
      <c r="P61" s="83">
        <f t="shared" si="26"/>
        <v>9.3939393939393767E-2</v>
      </c>
      <c r="Q61" s="126"/>
      <c r="R61" s="126"/>
      <c r="S61" s="126"/>
    </row>
    <row r="62" spans="1:19" s="23" customFormat="1" ht="64.5" hidden="1" customHeight="1" x14ac:dyDescent="0.25">
      <c r="A62" s="90" t="s">
        <v>101</v>
      </c>
      <c r="B62" s="91"/>
      <c r="C62" s="70"/>
      <c r="D62" s="157"/>
      <c r="E62" s="157"/>
      <c r="F62" s="138"/>
      <c r="G62" s="138"/>
      <c r="H62" s="138">
        <f>4048.7-4048.7</f>
        <v>0</v>
      </c>
      <c r="I62" s="138"/>
      <c r="J62" s="126"/>
      <c r="K62" s="83">
        <f t="shared" si="21"/>
        <v>0</v>
      </c>
      <c r="L62" s="83">
        <f t="shared" si="22"/>
        <v>0</v>
      </c>
      <c r="M62" s="83">
        <f t="shared" si="23"/>
        <v>0</v>
      </c>
      <c r="N62" s="83">
        <f t="shared" si="24"/>
        <v>0</v>
      </c>
      <c r="O62" s="83">
        <f t="shared" si="28"/>
        <v>0</v>
      </c>
      <c r="P62" s="83">
        <f t="shared" si="26"/>
        <v>0</v>
      </c>
      <c r="Q62" s="126"/>
      <c r="R62" s="126"/>
      <c r="S62" s="126"/>
    </row>
    <row r="63" spans="1:19" s="23" customFormat="1" ht="64.5" hidden="1" customHeight="1" x14ac:dyDescent="0.25">
      <c r="A63" s="92" t="s">
        <v>102</v>
      </c>
      <c r="B63" s="91"/>
      <c r="C63" s="70"/>
      <c r="D63" s="157"/>
      <c r="E63" s="157"/>
      <c r="F63" s="138"/>
      <c r="G63" s="138"/>
      <c r="H63" s="138">
        <f>2232.1-2232.1</f>
        <v>0</v>
      </c>
      <c r="I63" s="138"/>
      <c r="J63" s="126"/>
      <c r="K63" s="83">
        <f t="shared" si="21"/>
        <v>0</v>
      </c>
      <c r="L63" s="83">
        <f t="shared" si="22"/>
        <v>0</v>
      </c>
      <c r="M63" s="83">
        <f t="shared" si="23"/>
        <v>0</v>
      </c>
      <c r="N63" s="83">
        <f t="shared" si="24"/>
        <v>0</v>
      </c>
      <c r="O63" s="83">
        <f t="shared" si="28"/>
        <v>0</v>
      </c>
      <c r="P63" s="83">
        <f t="shared" si="26"/>
        <v>0</v>
      </c>
      <c r="Q63" s="126"/>
      <c r="R63" s="126"/>
      <c r="S63" s="126"/>
    </row>
    <row r="64" spans="1:19" s="23" customFormat="1" ht="64.5" hidden="1" customHeight="1" x14ac:dyDescent="0.25">
      <c r="A64" s="90" t="s">
        <v>103</v>
      </c>
      <c r="B64" s="91"/>
      <c r="C64" s="70"/>
      <c r="D64" s="157"/>
      <c r="E64" s="157"/>
      <c r="F64" s="138"/>
      <c r="G64" s="138"/>
      <c r="H64" s="158">
        <f>2244.1-2244.1</f>
        <v>0</v>
      </c>
      <c r="I64" s="138"/>
      <c r="J64" s="126"/>
      <c r="K64" s="83">
        <f t="shared" si="21"/>
        <v>0</v>
      </c>
      <c r="L64" s="83">
        <f t="shared" si="22"/>
        <v>0</v>
      </c>
      <c r="M64" s="83">
        <f t="shared" si="23"/>
        <v>0</v>
      </c>
      <c r="N64" s="83">
        <f t="shared" si="24"/>
        <v>0</v>
      </c>
      <c r="O64" s="83">
        <f t="shared" si="28"/>
        <v>0</v>
      </c>
      <c r="P64" s="83">
        <f t="shared" si="26"/>
        <v>0</v>
      </c>
      <c r="Q64" s="126"/>
      <c r="R64" s="126"/>
      <c r="S64" s="126"/>
    </row>
    <row r="65" spans="1:19" s="23" customFormat="1" ht="64.5" customHeight="1" x14ac:dyDescent="0.25">
      <c r="A65" s="90" t="s">
        <v>104</v>
      </c>
      <c r="B65" s="91"/>
      <c r="C65" s="70"/>
      <c r="D65" s="157"/>
      <c r="E65" s="157"/>
      <c r="F65" s="138"/>
      <c r="G65" s="138"/>
      <c r="H65" s="158">
        <f>15993+1339.1</f>
        <v>17332.099999999999</v>
      </c>
      <c r="I65" s="138">
        <v>175.1</v>
      </c>
      <c r="J65" s="126"/>
      <c r="K65" s="83">
        <f t="shared" si="21"/>
        <v>0</v>
      </c>
      <c r="L65" s="83">
        <f t="shared" si="22"/>
        <v>0</v>
      </c>
      <c r="M65" s="83">
        <f t="shared" si="23"/>
        <v>0</v>
      </c>
      <c r="N65" s="83">
        <f t="shared" si="24"/>
        <v>0</v>
      </c>
      <c r="O65" s="83">
        <f t="shared" si="28"/>
        <v>175.07171717171715</v>
      </c>
      <c r="P65" s="83">
        <f t="shared" si="26"/>
        <v>2.8282828282840455E-2</v>
      </c>
      <c r="Q65" s="126"/>
      <c r="R65" s="126"/>
      <c r="S65" s="126"/>
    </row>
    <row r="66" spans="1:19" s="23" customFormat="1" ht="64.5" customHeight="1" x14ac:dyDescent="0.25">
      <c r="A66" s="90" t="s">
        <v>105</v>
      </c>
      <c r="B66" s="91"/>
      <c r="C66" s="70"/>
      <c r="D66" s="157"/>
      <c r="E66" s="157"/>
      <c r="F66" s="138"/>
      <c r="G66" s="138"/>
      <c r="H66" s="158">
        <f>3744.1+321.8</f>
        <v>4065.9</v>
      </c>
      <c r="I66" s="138">
        <v>41.1</v>
      </c>
      <c r="J66" s="126"/>
      <c r="K66" s="83">
        <f t="shared" si="21"/>
        <v>0</v>
      </c>
      <c r="L66" s="83">
        <f t="shared" si="22"/>
        <v>0</v>
      </c>
      <c r="M66" s="83">
        <f t="shared" si="23"/>
        <v>0</v>
      </c>
      <c r="N66" s="83">
        <f t="shared" si="24"/>
        <v>0</v>
      </c>
      <c r="O66" s="83">
        <f t="shared" si="28"/>
        <v>41.06969696969697</v>
      </c>
      <c r="P66" s="83">
        <f t="shared" si="26"/>
        <v>3.0303030303031164E-2</v>
      </c>
      <c r="Q66" s="126"/>
      <c r="R66" s="126"/>
      <c r="S66" s="126"/>
    </row>
    <row r="67" spans="1:19" s="23" customFormat="1" ht="64.5" customHeight="1" x14ac:dyDescent="0.25">
      <c r="A67" s="90" t="s">
        <v>106</v>
      </c>
      <c r="B67" s="91"/>
      <c r="C67" s="70"/>
      <c r="D67" s="157"/>
      <c r="E67" s="157"/>
      <c r="F67" s="138"/>
      <c r="G67" s="138"/>
      <c r="H67" s="158">
        <f>5672.9+1715.3</f>
        <v>7388.2</v>
      </c>
      <c r="I67" s="138">
        <v>74.7</v>
      </c>
      <c r="J67" s="126"/>
      <c r="K67" s="83">
        <f t="shared" si="21"/>
        <v>0</v>
      </c>
      <c r="L67" s="83">
        <f t="shared" si="22"/>
        <v>0</v>
      </c>
      <c r="M67" s="83">
        <f t="shared" si="23"/>
        <v>0</v>
      </c>
      <c r="N67" s="83">
        <f t="shared" si="24"/>
        <v>0</v>
      </c>
      <c r="O67" s="83">
        <f t="shared" si="28"/>
        <v>74.628282828282821</v>
      </c>
      <c r="P67" s="83">
        <f t="shared" si="26"/>
        <v>7.1717171717182282E-2</v>
      </c>
      <c r="Q67" s="126"/>
      <c r="R67" s="126"/>
      <c r="S67" s="126"/>
    </row>
    <row r="68" spans="1:19" s="23" customFormat="1" ht="64.5" hidden="1" customHeight="1" x14ac:dyDescent="0.25">
      <c r="A68" s="90" t="s">
        <v>107</v>
      </c>
      <c r="B68" s="91"/>
      <c r="C68" s="70"/>
      <c r="D68" s="157"/>
      <c r="E68" s="157"/>
      <c r="F68" s="138"/>
      <c r="G68" s="138"/>
      <c r="H68" s="160">
        <f>33678.3-33678.3</f>
        <v>0</v>
      </c>
      <c r="I68" s="138"/>
      <c r="J68" s="126"/>
      <c r="K68" s="83">
        <f t="shared" si="21"/>
        <v>0</v>
      </c>
      <c r="L68" s="83">
        <f t="shared" si="22"/>
        <v>0</v>
      </c>
      <c r="M68" s="83">
        <f t="shared" si="23"/>
        <v>0</v>
      </c>
      <c r="N68" s="83">
        <f t="shared" si="24"/>
        <v>0</v>
      </c>
      <c r="O68" s="83">
        <f t="shared" si="25"/>
        <v>0</v>
      </c>
      <c r="P68" s="83">
        <f t="shared" si="26"/>
        <v>0</v>
      </c>
      <c r="Q68" s="126"/>
      <c r="R68" s="126"/>
      <c r="S68" s="126"/>
    </row>
    <row r="69" spans="1:19" s="23" customFormat="1" ht="64.5" hidden="1" customHeight="1" x14ac:dyDescent="0.25">
      <c r="A69" s="90" t="s">
        <v>108</v>
      </c>
      <c r="B69" s="91"/>
      <c r="C69" s="70"/>
      <c r="D69" s="157"/>
      <c r="E69" s="157"/>
      <c r="F69" s="138"/>
      <c r="G69" s="161"/>
      <c r="H69" s="162">
        <f>1485.6-1485.6</f>
        <v>0</v>
      </c>
      <c r="I69" s="163"/>
      <c r="J69" s="126"/>
      <c r="K69" s="83">
        <f t="shared" si="21"/>
        <v>0</v>
      </c>
      <c r="L69" s="83">
        <f t="shared" si="22"/>
        <v>0</v>
      </c>
      <c r="M69" s="83">
        <f t="shared" si="23"/>
        <v>0</v>
      </c>
      <c r="N69" s="83">
        <f t="shared" si="24"/>
        <v>0</v>
      </c>
      <c r="O69" s="83">
        <f t="shared" si="25"/>
        <v>0</v>
      </c>
      <c r="P69" s="83">
        <f t="shared" si="26"/>
        <v>0</v>
      </c>
      <c r="Q69" s="126"/>
      <c r="R69" s="126"/>
      <c r="S69" s="126"/>
    </row>
    <row r="70" spans="1:19" s="23" customFormat="1" ht="64.5" hidden="1" customHeight="1" x14ac:dyDescent="0.25">
      <c r="A70" s="90" t="s">
        <v>109</v>
      </c>
      <c r="B70" s="91"/>
      <c r="C70" s="70"/>
      <c r="D70" s="157"/>
      <c r="E70" s="157"/>
      <c r="F70" s="138"/>
      <c r="G70" s="161"/>
      <c r="H70" s="162">
        <f>2036.8-2036.8</f>
        <v>0</v>
      </c>
      <c r="I70" s="163"/>
      <c r="J70" s="126"/>
      <c r="K70" s="83">
        <f t="shared" si="21"/>
        <v>0</v>
      </c>
      <c r="L70" s="83">
        <f t="shared" si="22"/>
        <v>0</v>
      </c>
      <c r="M70" s="83">
        <f t="shared" si="23"/>
        <v>0</v>
      </c>
      <c r="N70" s="83">
        <f t="shared" si="24"/>
        <v>0</v>
      </c>
      <c r="O70" s="83">
        <f t="shared" si="25"/>
        <v>0</v>
      </c>
      <c r="P70" s="83">
        <f t="shared" si="26"/>
        <v>0</v>
      </c>
      <c r="Q70" s="126"/>
      <c r="R70" s="126"/>
      <c r="S70" s="126"/>
    </row>
    <row r="71" spans="1:19" s="23" customFormat="1" ht="64.5" customHeight="1" x14ac:dyDescent="0.25">
      <c r="A71" s="31" t="s">
        <v>88</v>
      </c>
      <c r="B71" s="91"/>
      <c r="C71" s="70"/>
      <c r="D71" s="157"/>
      <c r="E71" s="157"/>
      <c r="F71" s="138">
        <v>20295</v>
      </c>
      <c r="G71" s="138">
        <v>205</v>
      </c>
      <c r="H71" s="138"/>
      <c r="I71" s="138"/>
      <c r="J71" s="126"/>
      <c r="K71" s="83">
        <f t="shared" si="21"/>
        <v>0</v>
      </c>
      <c r="L71" s="83">
        <f t="shared" si="22"/>
        <v>0</v>
      </c>
      <c r="M71" s="83">
        <f>F71*1/99</f>
        <v>205</v>
      </c>
      <c r="N71" s="83">
        <f t="shared" si="24"/>
        <v>0</v>
      </c>
      <c r="O71" s="83">
        <f t="shared" si="25"/>
        <v>0</v>
      </c>
      <c r="P71" s="83">
        <f t="shared" si="26"/>
        <v>0</v>
      </c>
      <c r="Q71" s="126"/>
      <c r="R71" s="126"/>
      <c r="S71" s="126"/>
    </row>
    <row r="72" spans="1:19" s="23" customFormat="1" ht="42.75" hidden="1" customHeight="1" x14ac:dyDescent="0.25">
      <c r="A72" s="31" t="s">
        <v>79</v>
      </c>
      <c r="B72" s="91"/>
      <c r="C72" s="70"/>
      <c r="D72" s="157">
        <f>55836-55836</f>
        <v>0</v>
      </c>
      <c r="E72" s="157"/>
      <c r="F72" s="138"/>
      <c r="G72" s="138"/>
      <c r="H72" s="138"/>
      <c r="I72" s="138"/>
      <c r="J72" s="126"/>
      <c r="K72" s="83">
        <f t="shared" si="21"/>
        <v>0</v>
      </c>
      <c r="L72" s="83">
        <f t="shared" si="22"/>
        <v>0</v>
      </c>
      <c r="M72" s="83">
        <f t="shared" si="23"/>
        <v>0</v>
      </c>
      <c r="N72" s="83">
        <f t="shared" si="24"/>
        <v>0</v>
      </c>
      <c r="O72" s="83">
        <f t="shared" si="25"/>
        <v>0</v>
      </c>
      <c r="P72" s="83">
        <f t="shared" si="26"/>
        <v>0</v>
      </c>
      <c r="Q72" s="126"/>
      <c r="R72" s="126"/>
      <c r="S72" s="126"/>
    </row>
    <row r="73" spans="1:19" s="23" customFormat="1" ht="72" customHeight="1" x14ac:dyDescent="0.25">
      <c r="A73" s="31" t="s">
        <v>117</v>
      </c>
      <c r="B73" s="91"/>
      <c r="C73" s="70"/>
      <c r="D73" s="157">
        <v>131290.1</v>
      </c>
      <c r="E73" s="157">
        <v>1695.6</v>
      </c>
      <c r="F73" s="138">
        <v>156272.20000000001</v>
      </c>
      <c r="G73" s="138">
        <v>2018.2</v>
      </c>
      <c r="H73" s="138"/>
      <c r="I73" s="138"/>
      <c r="J73" s="126"/>
      <c r="K73" s="83">
        <f t="shared" si="21"/>
        <v>10645.143243243243</v>
      </c>
      <c r="L73" s="83">
        <f t="shared" si="22"/>
        <v>-8949.5432432432426</v>
      </c>
      <c r="M73" s="83">
        <f t="shared" si="23"/>
        <v>12670.718918918919</v>
      </c>
      <c r="N73" s="83">
        <f t="shared" si="24"/>
        <v>-10652.518918918919</v>
      </c>
      <c r="O73" s="83">
        <f t="shared" si="25"/>
        <v>0</v>
      </c>
      <c r="P73" s="83">
        <f t="shared" si="26"/>
        <v>0</v>
      </c>
      <c r="Q73" s="126"/>
      <c r="R73" s="126"/>
      <c r="S73" s="126"/>
    </row>
    <row r="74" spans="1:19" s="23" customFormat="1" ht="72" customHeight="1" x14ac:dyDescent="0.25">
      <c r="A74" s="31" t="s">
        <v>118</v>
      </c>
      <c r="B74" s="91"/>
      <c r="C74" s="70"/>
      <c r="D74" s="157">
        <f>953.2-235.2</f>
        <v>718</v>
      </c>
      <c r="E74" s="157">
        <v>77.3</v>
      </c>
      <c r="F74" s="138"/>
      <c r="G74" s="138"/>
      <c r="H74" s="138"/>
      <c r="I74" s="138"/>
      <c r="J74" s="126"/>
      <c r="K74" s="83">
        <f t="shared" si="21"/>
        <v>58.216216216216218</v>
      </c>
      <c r="L74" s="83">
        <f t="shared" si="22"/>
        <v>19.08378378378378</v>
      </c>
      <c r="M74" s="83">
        <f t="shared" si="23"/>
        <v>0</v>
      </c>
      <c r="N74" s="83">
        <f t="shared" si="24"/>
        <v>0</v>
      </c>
      <c r="O74" s="83">
        <f t="shared" si="25"/>
        <v>0</v>
      </c>
      <c r="P74" s="83">
        <f t="shared" si="26"/>
        <v>0</v>
      </c>
      <c r="Q74" s="126"/>
      <c r="R74" s="126"/>
      <c r="S74" s="126"/>
    </row>
    <row r="75" spans="1:19" s="23" customFormat="1" ht="118.5" customHeight="1" x14ac:dyDescent="0.25">
      <c r="A75" s="43" t="s">
        <v>126</v>
      </c>
      <c r="B75" s="91"/>
      <c r="C75" s="70"/>
      <c r="D75" s="157"/>
      <c r="E75" s="157">
        <f>838.9-838.9+451.6</f>
        <v>451.6</v>
      </c>
      <c r="F75" s="138"/>
      <c r="G75" s="138">
        <v>410.8</v>
      </c>
      <c r="H75" s="138"/>
      <c r="I75" s="138"/>
      <c r="J75" s="126"/>
      <c r="K75" s="83">
        <f t="shared" si="21"/>
        <v>0</v>
      </c>
      <c r="L75" s="83">
        <f t="shared" si="22"/>
        <v>451.6</v>
      </c>
      <c r="M75" s="83">
        <f t="shared" si="23"/>
        <v>0</v>
      </c>
      <c r="N75" s="83">
        <f t="shared" si="24"/>
        <v>410.8</v>
      </c>
      <c r="O75" s="83">
        <f t="shared" si="25"/>
        <v>0</v>
      </c>
      <c r="P75" s="83">
        <f t="shared" si="26"/>
        <v>0</v>
      </c>
      <c r="Q75" s="126"/>
      <c r="R75" s="126"/>
      <c r="S75" s="126"/>
    </row>
    <row r="76" spans="1:19" s="23" customFormat="1" ht="63" customHeight="1" x14ac:dyDescent="0.25">
      <c r="A76" s="43" t="s">
        <v>79</v>
      </c>
      <c r="B76" s="91"/>
      <c r="C76" s="70"/>
      <c r="D76" s="157">
        <v>36365.300000000003</v>
      </c>
      <c r="E76" s="157">
        <f>564-196.6</f>
        <v>367.4</v>
      </c>
      <c r="F76" s="138"/>
      <c r="G76" s="138"/>
      <c r="H76" s="138"/>
      <c r="I76" s="138"/>
      <c r="J76" s="126"/>
      <c r="K76" s="83">
        <f t="shared" si="21"/>
        <v>2948.5378378378377</v>
      </c>
      <c r="L76" s="83">
        <f t="shared" si="22"/>
        <v>-2581.1378378378377</v>
      </c>
      <c r="M76" s="83">
        <f t="shared" si="23"/>
        <v>0</v>
      </c>
      <c r="N76" s="83">
        <f t="shared" si="24"/>
        <v>0</v>
      </c>
      <c r="O76" s="83">
        <f t="shared" si="25"/>
        <v>0</v>
      </c>
      <c r="P76" s="83">
        <f t="shared" si="26"/>
        <v>0</v>
      </c>
      <c r="Q76" s="126"/>
      <c r="R76" s="126"/>
      <c r="S76" s="126"/>
    </row>
    <row r="77" spans="1:19" s="23" customFormat="1" ht="66" customHeight="1" x14ac:dyDescent="0.25">
      <c r="A77" s="186" t="s">
        <v>132</v>
      </c>
      <c r="B77" s="187">
        <v>17834.8</v>
      </c>
      <c r="C77" s="186" t="s">
        <v>132</v>
      </c>
      <c r="D77" s="187">
        <v>17834.8</v>
      </c>
      <c r="E77" s="157">
        <v>180.2</v>
      </c>
      <c r="F77" s="138"/>
      <c r="G77" s="138"/>
      <c r="H77" s="138"/>
      <c r="I77" s="138"/>
      <c r="J77" s="126"/>
      <c r="K77" s="83"/>
      <c r="L77" s="83"/>
      <c r="M77" s="83"/>
      <c r="N77" s="83"/>
      <c r="O77" s="83"/>
      <c r="P77" s="83"/>
      <c r="Q77" s="126"/>
      <c r="R77" s="126"/>
      <c r="S77" s="126"/>
    </row>
    <row r="78" spans="1:19" s="23" customFormat="1" ht="60.75" customHeight="1" x14ac:dyDescent="0.25">
      <c r="A78" s="186" t="s">
        <v>141</v>
      </c>
      <c r="B78" s="187"/>
      <c r="C78" s="186"/>
      <c r="D78" s="187"/>
      <c r="E78" s="157">
        <v>4642.3</v>
      </c>
      <c r="F78" s="138"/>
      <c r="G78" s="138"/>
      <c r="H78" s="138"/>
      <c r="I78" s="138"/>
      <c r="J78" s="126"/>
      <c r="K78" s="83"/>
      <c r="L78" s="83"/>
      <c r="M78" s="83"/>
      <c r="N78" s="83"/>
      <c r="O78" s="83"/>
      <c r="P78" s="83"/>
      <c r="Q78" s="126"/>
      <c r="R78" s="126"/>
      <c r="S78" s="126"/>
    </row>
    <row r="79" spans="1:19" s="23" customFormat="1" ht="82.5" customHeight="1" x14ac:dyDescent="0.25">
      <c r="A79" s="186" t="s">
        <v>142</v>
      </c>
      <c r="B79" s="187"/>
      <c r="C79" s="186"/>
      <c r="D79" s="187"/>
      <c r="E79" s="157">
        <v>224.4</v>
      </c>
      <c r="F79" s="138"/>
      <c r="G79" s="138">
        <f>1906</f>
        <v>1906</v>
      </c>
      <c r="H79" s="138"/>
      <c r="I79" s="138"/>
      <c r="J79" s="126"/>
      <c r="K79" s="83"/>
      <c r="L79" s="83"/>
      <c r="M79" s="83"/>
      <c r="N79" s="83"/>
      <c r="O79" s="83"/>
      <c r="P79" s="83"/>
      <c r="Q79" s="126"/>
      <c r="R79" s="126"/>
      <c r="S79" s="126"/>
    </row>
    <row r="80" spans="1:19" s="23" customFormat="1" ht="82.5" customHeight="1" x14ac:dyDescent="0.25">
      <c r="A80" s="186" t="s">
        <v>143</v>
      </c>
      <c r="B80" s="187"/>
      <c r="C80" s="186"/>
      <c r="D80" s="187"/>
      <c r="E80" s="157">
        <v>369.4</v>
      </c>
      <c r="F80" s="138"/>
      <c r="G80" s="138"/>
      <c r="H80" s="138"/>
      <c r="I80" s="138"/>
      <c r="J80" s="126"/>
      <c r="K80" s="83"/>
      <c r="L80" s="83"/>
      <c r="M80" s="83"/>
      <c r="N80" s="83"/>
      <c r="O80" s="83"/>
      <c r="P80" s="83"/>
      <c r="Q80" s="126"/>
      <c r="R80" s="126"/>
      <c r="S80" s="126"/>
    </row>
    <row r="81" spans="1:19" s="16" customFormat="1" ht="75" customHeight="1" x14ac:dyDescent="0.25">
      <c r="A81" s="189" t="s">
        <v>130</v>
      </c>
      <c r="B81" s="190">
        <v>10742.4</v>
      </c>
      <c r="C81" s="189" t="s">
        <v>130</v>
      </c>
      <c r="D81" s="190">
        <v>10742.4</v>
      </c>
      <c r="E81" s="163">
        <v>871</v>
      </c>
      <c r="F81" s="163">
        <v>4257.8</v>
      </c>
      <c r="G81" s="163">
        <v>345.3</v>
      </c>
      <c r="H81" s="163"/>
      <c r="I81" s="163"/>
      <c r="J81" s="83"/>
      <c r="K81" s="83"/>
      <c r="L81" s="83"/>
      <c r="M81" s="83"/>
      <c r="N81" s="83"/>
      <c r="O81" s="83"/>
      <c r="P81" s="83"/>
      <c r="Q81" s="83"/>
      <c r="R81" s="83"/>
      <c r="S81" s="83"/>
    </row>
    <row r="82" spans="1:19" s="23" customFormat="1" ht="13.5" customHeight="1" thickBot="1" x14ac:dyDescent="0.3">
      <c r="A82" s="21"/>
      <c r="B82" s="68"/>
      <c r="C82" s="68"/>
      <c r="D82" s="139"/>
      <c r="E82" s="139"/>
      <c r="F82" s="139"/>
      <c r="G82" s="139"/>
      <c r="H82" s="139"/>
      <c r="I82" s="139"/>
      <c r="J82" s="126"/>
      <c r="K82" s="126"/>
      <c r="L82" s="126"/>
      <c r="M82" s="126"/>
      <c r="N82" s="126"/>
      <c r="O82" s="126"/>
      <c r="P82" s="126"/>
      <c r="Q82" s="126"/>
      <c r="R82" s="126"/>
      <c r="S82" s="126"/>
    </row>
    <row r="83" spans="1:19" s="23" customFormat="1" ht="15" customHeight="1" thickBot="1" x14ac:dyDescent="0.3">
      <c r="B83" s="65"/>
      <c r="C83" s="65"/>
      <c r="D83" s="140"/>
      <c r="E83" s="140"/>
      <c r="F83" s="140"/>
      <c r="G83" s="140"/>
      <c r="H83" s="140"/>
      <c r="I83" s="140"/>
      <c r="J83" s="126"/>
      <c r="K83" s="126"/>
      <c r="L83" s="126"/>
      <c r="M83" s="126"/>
      <c r="N83" s="126"/>
      <c r="O83" s="126"/>
      <c r="P83" s="126"/>
      <c r="Q83" s="126"/>
      <c r="R83" s="126"/>
      <c r="S83" s="126"/>
    </row>
    <row r="84" spans="1:19" s="23" customFormat="1" ht="59.25" customHeight="1" x14ac:dyDescent="0.25">
      <c r="A84" s="12" t="s">
        <v>16</v>
      </c>
      <c r="B84" s="66"/>
      <c r="C84" s="66"/>
      <c r="D84" s="136">
        <f t="shared" ref="D84:I84" si="29">SUM(D85:D93)</f>
        <v>27281.7</v>
      </c>
      <c r="E84" s="136">
        <f t="shared" si="29"/>
        <v>1913.3000000000002</v>
      </c>
      <c r="F84" s="136">
        <f t="shared" si="29"/>
        <v>2088.1999999999998</v>
      </c>
      <c r="G84" s="136">
        <f t="shared" si="29"/>
        <v>149.4</v>
      </c>
      <c r="H84" s="136">
        <f t="shared" si="29"/>
        <v>781.1</v>
      </c>
      <c r="I84" s="136">
        <f t="shared" si="29"/>
        <v>43.300000000000004</v>
      </c>
      <c r="J84" s="126"/>
      <c r="K84" s="126"/>
      <c r="L84" s="126"/>
      <c r="M84" s="126"/>
      <c r="N84" s="126"/>
      <c r="O84" s="126"/>
      <c r="P84" s="126"/>
      <c r="Q84" s="126"/>
      <c r="R84" s="126"/>
      <c r="S84" s="126"/>
    </row>
    <row r="85" spans="1:19" s="23" customFormat="1" ht="80.25" customHeight="1" x14ac:dyDescent="0.25">
      <c r="A85" s="27" t="s">
        <v>17</v>
      </c>
      <c r="B85" s="71">
        <v>906</v>
      </c>
      <c r="C85" s="71" t="s">
        <v>55</v>
      </c>
      <c r="D85" s="154">
        <v>482.4</v>
      </c>
      <c r="E85" s="154">
        <v>39.200000000000003</v>
      </c>
      <c r="F85" s="154">
        <v>626.4</v>
      </c>
      <c r="G85" s="154">
        <v>50.8</v>
      </c>
      <c r="H85" s="154"/>
      <c r="I85" s="154"/>
      <c r="J85" s="126"/>
      <c r="K85" s="83">
        <f t="shared" ref="K85:K91" si="30">D85*7.5/92.5</f>
        <v>39.11351351351351</v>
      </c>
      <c r="L85" s="83">
        <f t="shared" ref="L85:L91" si="31">E85-K85</f>
        <v>8.6486486486492709E-2</v>
      </c>
      <c r="M85" s="83">
        <f t="shared" ref="M85:M91" si="32">F85*7.5/92.5</f>
        <v>50.789189189189187</v>
      </c>
      <c r="N85" s="83">
        <f t="shared" ref="N85:N91" si="33">G85-M85</f>
        <v>1.0810810810809812E-2</v>
      </c>
      <c r="O85" s="83">
        <f t="shared" ref="O85:O91" si="34">H85*7.5/92.5</f>
        <v>0</v>
      </c>
      <c r="P85" s="83">
        <f t="shared" ref="P85:P91" si="35">I85-O85</f>
        <v>0</v>
      </c>
      <c r="Q85" s="126"/>
      <c r="R85" s="126"/>
      <c r="S85" s="126"/>
    </row>
    <row r="86" spans="1:19" s="23" customFormat="1" ht="80.25" hidden="1" customHeight="1" x14ac:dyDescent="0.25">
      <c r="A86" s="27" t="s">
        <v>64</v>
      </c>
      <c r="B86" s="71"/>
      <c r="C86" s="71"/>
      <c r="D86" s="154"/>
      <c r="E86" s="154"/>
      <c r="F86" s="154"/>
      <c r="G86" s="154"/>
      <c r="H86" s="154"/>
      <c r="I86" s="154"/>
      <c r="J86" s="126"/>
      <c r="K86" s="83">
        <f t="shared" si="30"/>
        <v>0</v>
      </c>
      <c r="L86" s="83">
        <f t="shared" si="31"/>
        <v>0</v>
      </c>
      <c r="M86" s="83">
        <f t="shared" si="32"/>
        <v>0</v>
      </c>
      <c r="N86" s="83">
        <f t="shared" si="33"/>
        <v>0</v>
      </c>
      <c r="O86" s="83">
        <f t="shared" si="34"/>
        <v>0</v>
      </c>
      <c r="P86" s="83">
        <f t="shared" si="35"/>
        <v>0</v>
      </c>
      <c r="Q86" s="126"/>
      <c r="R86" s="126"/>
      <c r="S86" s="126"/>
    </row>
    <row r="87" spans="1:19" s="23" customFormat="1" ht="57.75" customHeight="1" x14ac:dyDescent="0.25">
      <c r="A87" s="27" t="s">
        <v>18</v>
      </c>
      <c r="B87" s="71">
        <v>906</v>
      </c>
      <c r="C87" s="71" t="s">
        <v>49</v>
      </c>
      <c r="D87" s="154">
        <v>481.6</v>
      </c>
      <c r="E87" s="154">
        <v>39.1</v>
      </c>
      <c r="F87" s="154">
        <v>481.6</v>
      </c>
      <c r="G87" s="154">
        <v>39.1</v>
      </c>
      <c r="H87" s="154">
        <v>481.6</v>
      </c>
      <c r="I87" s="154">
        <v>39.1</v>
      </c>
      <c r="J87" s="126"/>
      <c r="K87" s="83">
        <f t="shared" si="30"/>
        <v>39.048648648648651</v>
      </c>
      <c r="L87" s="83">
        <f t="shared" si="31"/>
        <v>5.1351351351350161E-2</v>
      </c>
      <c r="M87" s="83">
        <f t="shared" si="32"/>
        <v>39.048648648648651</v>
      </c>
      <c r="N87" s="83">
        <f t="shared" si="33"/>
        <v>5.1351351351350161E-2</v>
      </c>
      <c r="O87" s="83">
        <f t="shared" si="34"/>
        <v>39.048648648648651</v>
      </c>
      <c r="P87" s="83">
        <f t="shared" si="35"/>
        <v>5.1351351351350161E-2</v>
      </c>
      <c r="Q87" s="126"/>
      <c r="R87" s="126"/>
      <c r="S87" s="126"/>
    </row>
    <row r="88" spans="1:19" s="23" customFormat="1" ht="80.25" customHeight="1" x14ac:dyDescent="0.25">
      <c r="A88" s="31" t="s">
        <v>17</v>
      </c>
      <c r="B88" s="73"/>
      <c r="C88" s="73"/>
      <c r="D88" s="138">
        <f>328.1+31.4</f>
        <v>359.5</v>
      </c>
      <c r="E88" s="138">
        <v>5.0999999999999996</v>
      </c>
      <c r="F88" s="138">
        <f>328.1-28.9</f>
        <v>299.20000000000005</v>
      </c>
      <c r="G88" s="138">
        <v>4.2</v>
      </c>
      <c r="H88" s="138">
        <v>299.5</v>
      </c>
      <c r="I88" s="138">
        <v>4.2</v>
      </c>
      <c r="J88" s="126"/>
      <c r="K88" s="83">
        <f t="shared" si="30"/>
        <v>29.148648648648649</v>
      </c>
      <c r="L88" s="83">
        <f t="shared" si="31"/>
        <v>-24.048648648648651</v>
      </c>
      <c r="M88" s="83">
        <f t="shared" si="32"/>
        <v>24.259459459459464</v>
      </c>
      <c r="N88" s="83">
        <f t="shared" si="33"/>
        <v>-20.059459459459465</v>
      </c>
      <c r="O88" s="83">
        <f t="shared" si="34"/>
        <v>24.283783783783782</v>
      </c>
      <c r="P88" s="83">
        <f t="shared" si="35"/>
        <v>-20.083783783783783</v>
      </c>
      <c r="Q88" s="126"/>
      <c r="R88" s="126"/>
      <c r="S88" s="126"/>
    </row>
    <row r="89" spans="1:19" s="23" customFormat="1" ht="70.5" customHeight="1" x14ac:dyDescent="0.25">
      <c r="A89" s="31" t="s">
        <v>77</v>
      </c>
      <c r="B89" s="73">
        <v>906</v>
      </c>
      <c r="C89" s="73" t="s">
        <v>55</v>
      </c>
      <c r="D89" s="138">
        <v>486.4</v>
      </c>
      <c r="E89" s="138">
        <v>39.5</v>
      </c>
      <c r="F89" s="138">
        <v>681</v>
      </c>
      <c r="G89" s="138">
        <v>55.3</v>
      </c>
      <c r="H89" s="138"/>
      <c r="I89" s="138"/>
      <c r="J89" s="126"/>
      <c r="K89" s="83">
        <f t="shared" si="30"/>
        <v>39.43783783783784</v>
      </c>
      <c r="L89" s="83">
        <f t="shared" si="31"/>
        <v>6.2162162162159973E-2</v>
      </c>
      <c r="M89" s="83">
        <f t="shared" si="32"/>
        <v>55.216216216216218</v>
      </c>
      <c r="N89" s="83">
        <f t="shared" si="33"/>
        <v>8.3783783783779597E-2</v>
      </c>
      <c r="O89" s="83">
        <f t="shared" si="34"/>
        <v>0</v>
      </c>
      <c r="P89" s="83">
        <f t="shared" si="35"/>
        <v>0</v>
      </c>
      <c r="Q89" s="126"/>
      <c r="R89" s="126"/>
      <c r="S89" s="126"/>
    </row>
    <row r="90" spans="1:19" s="23" customFormat="1" ht="70.5" customHeight="1" x14ac:dyDescent="0.25">
      <c r="A90" s="31" t="s">
        <v>111</v>
      </c>
      <c r="B90" s="73">
        <v>906</v>
      </c>
      <c r="C90" s="73" t="s">
        <v>55</v>
      </c>
      <c r="D90" s="138">
        <v>22010.6</v>
      </c>
      <c r="E90" s="138">
        <v>1784.7</v>
      </c>
      <c r="F90" s="138"/>
      <c r="G90" s="138"/>
      <c r="H90" s="138"/>
      <c r="I90" s="138"/>
      <c r="J90" s="126"/>
      <c r="K90" s="83">
        <f t="shared" si="30"/>
        <v>1784.6432432432432</v>
      </c>
      <c r="L90" s="83">
        <f t="shared" si="31"/>
        <v>5.6756756756840332E-2</v>
      </c>
      <c r="M90" s="83">
        <f t="shared" si="32"/>
        <v>0</v>
      </c>
      <c r="N90" s="83">
        <f t="shared" si="33"/>
        <v>0</v>
      </c>
      <c r="O90" s="83">
        <f t="shared" si="34"/>
        <v>0</v>
      </c>
      <c r="P90" s="83">
        <f t="shared" si="35"/>
        <v>0</v>
      </c>
      <c r="Q90" s="126"/>
      <c r="R90" s="126"/>
      <c r="S90" s="126"/>
    </row>
    <row r="91" spans="1:19" s="23" customFormat="1" ht="70.5" customHeight="1" x14ac:dyDescent="0.25">
      <c r="A91" s="31" t="s">
        <v>112</v>
      </c>
      <c r="B91" s="73"/>
      <c r="C91" s="73"/>
      <c r="D91" s="138">
        <v>3461.2</v>
      </c>
      <c r="E91" s="138">
        <v>5.7</v>
      </c>
      <c r="F91" s="138"/>
      <c r="G91" s="138"/>
      <c r="H91" s="138"/>
      <c r="I91" s="138"/>
      <c r="J91" s="126"/>
      <c r="K91" s="83">
        <f t="shared" si="30"/>
        <v>280.63783783783782</v>
      </c>
      <c r="L91" s="83">
        <f t="shared" si="31"/>
        <v>-274.93783783783783</v>
      </c>
      <c r="M91" s="83">
        <f t="shared" si="32"/>
        <v>0</v>
      </c>
      <c r="N91" s="83">
        <f t="shared" si="33"/>
        <v>0</v>
      </c>
      <c r="O91" s="83">
        <f t="shared" si="34"/>
        <v>0</v>
      </c>
      <c r="P91" s="83">
        <f t="shared" si="35"/>
        <v>0</v>
      </c>
      <c r="Q91" s="126"/>
      <c r="R91" s="126"/>
      <c r="S91" s="126"/>
    </row>
    <row r="92" spans="1:19" s="23" customFormat="1" ht="105" hidden="1" customHeight="1" x14ac:dyDescent="0.25">
      <c r="A92" s="43"/>
      <c r="B92" s="73"/>
      <c r="C92" s="73"/>
      <c r="D92" s="138"/>
      <c r="E92" s="138"/>
      <c r="F92" s="138"/>
      <c r="G92" s="138"/>
      <c r="H92" s="138"/>
      <c r="I92" s="138"/>
      <c r="J92" s="126"/>
      <c r="K92" s="126"/>
      <c r="L92" s="126"/>
      <c r="M92" s="126"/>
      <c r="N92" s="126"/>
      <c r="O92" s="126"/>
      <c r="P92" s="126"/>
      <c r="Q92" s="126"/>
      <c r="R92" s="126"/>
      <c r="S92" s="126"/>
    </row>
    <row r="93" spans="1:19" s="16" customFormat="1" ht="14.25" customHeight="1" thickBot="1" x14ac:dyDescent="0.3">
      <c r="A93" s="21"/>
      <c r="B93" s="68"/>
      <c r="C93" s="68"/>
      <c r="D93" s="139"/>
      <c r="E93" s="139"/>
      <c r="F93" s="139"/>
      <c r="G93" s="139"/>
      <c r="H93" s="139"/>
      <c r="I93" s="139"/>
      <c r="J93" s="83"/>
      <c r="K93" s="83"/>
      <c r="L93" s="83"/>
      <c r="M93" s="83"/>
      <c r="N93" s="83"/>
      <c r="O93" s="83"/>
      <c r="P93" s="83"/>
      <c r="Q93" s="83"/>
      <c r="R93" s="83"/>
      <c r="S93" s="83"/>
    </row>
    <row r="94" spans="1:19" s="16" customFormat="1" ht="13.5" thickBot="1" x14ac:dyDescent="0.3">
      <c r="A94" s="23"/>
      <c r="B94" s="65"/>
      <c r="C94" s="65"/>
      <c r="D94" s="140"/>
      <c r="E94" s="140"/>
      <c r="F94" s="140"/>
      <c r="G94" s="140"/>
      <c r="H94" s="140"/>
      <c r="I94" s="140"/>
      <c r="J94" s="83"/>
      <c r="K94" s="83"/>
      <c r="L94" s="83"/>
      <c r="M94" s="83"/>
      <c r="N94" s="83"/>
      <c r="O94" s="83"/>
      <c r="P94" s="83"/>
      <c r="Q94" s="83"/>
      <c r="R94" s="83"/>
      <c r="S94" s="83"/>
    </row>
    <row r="95" spans="1:19" s="23" customFormat="1" ht="59.25" hidden="1" customHeight="1" x14ac:dyDescent="0.25">
      <c r="A95" s="12" t="s">
        <v>19</v>
      </c>
      <c r="B95" s="66"/>
      <c r="C95" s="66"/>
      <c r="D95" s="136">
        <f t="shared" ref="D95:I95" si="36">SUM(D96:D97)</f>
        <v>0</v>
      </c>
      <c r="E95" s="136">
        <f t="shared" si="36"/>
        <v>0</v>
      </c>
      <c r="F95" s="136">
        <f>SUM(F96:F97)</f>
        <v>0</v>
      </c>
      <c r="G95" s="136">
        <f>SUM(G96:G97)</f>
        <v>0</v>
      </c>
      <c r="H95" s="136">
        <f t="shared" si="36"/>
        <v>0</v>
      </c>
      <c r="I95" s="136">
        <f t="shared" si="36"/>
        <v>0</v>
      </c>
      <c r="J95" s="126"/>
      <c r="K95" s="126"/>
      <c r="L95" s="126"/>
      <c r="M95" s="126"/>
      <c r="N95" s="126"/>
      <c r="O95" s="126"/>
      <c r="P95" s="126"/>
      <c r="Q95" s="126"/>
      <c r="R95" s="126"/>
      <c r="S95" s="126"/>
    </row>
    <row r="96" spans="1:19" s="16" customFormat="1" ht="33.75" hidden="1" customHeight="1" x14ac:dyDescent="0.25">
      <c r="A96" s="27"/>
      <c r="B96" s="71"/>
      <c r="C96" s="71"/>
      <c r="D96" s="154"/>
      <c r="E96" s="154"/>
      <c r="F96" s="154"/>
      <c r="G96" s="154"/>
      <c r="H96" s="154"/>
      <c r="I96" s="154"/>
      <c r="J96" s="83"/>
      <c r="K96" s="83"/>
      <c r="L96" s="83"/>
      <c r="M96" s="83"/>
      <c r="N96" s="83"/>
      <c r="O96" s="83"/>
      <c r="P96" s="83"/>
      <c r="Q96" s="83"/>
      <c r="R96" s="83"/>
      <c r="S96" s="83"/>
    </row>
    <row r="97" spans="1:19" s="16" customFormat="1" ht="13.5" hidden="1" thickBot="1" x14ac:dyDescent="0.3">
      <c r="A97" s="21"/>
      <c r="B97" s="68"/>
      <c r="C97" s="68"/>
      <c r="D97" s="139"/>
      <c r="E97" s="139"/>
      <c r="F97" s="139"/>
      <c r="G97" s="139"/>
      <c r="H97" s="139"/>
      <c r="I97" s="139"/>
      <c r="J97" s="83"/>
      <c r="K97" s="83"/>
      <c r="L97" s="83"/>
      <c r="M97" s="83"/>
      <c r="N97" s="83"/>
      <c r="O97" s="83"/>
      <c r="P97" s="83"/>
      <c r="Q97" s="83"/>
      <c r="R97" s="83"/>
      <c r="S97" s="83"/>
    </row>
    <row r="98" spans="1:19" s="16" customFormat="1" ht="13.5" hidden="1" thickBot="1" x14ac:dyDescent="0.3">
      <c r="A98" s="23"/>
      <c r="B98" s="65"/>
      <c r="C98" s="65"/>
      <c r="D98" s="140"/>
      <c r="E98" s="140"/>
      <c r="F98" s="140"/>
      <c r="G98" s="140"/>
      <c r="H98" s="140"/>
      <c r="I98" s="140"/>
      <c r="J98" s="83"/>
      <c r="K98" s="83"/>
      <c r="L98" s="83"/>
      <c r="M98" s="83"/>
      <c r="N98" s="83"/>
      <c r="O98" s="83"/>
      <c r="P98" s="83"/>
      <c r="Q98" s="83"/>
      <c r="R98" s="83"/>
      <c r="S98" s="83"/>
    </row>
    <row r="99" spans="1:19" s="16" customFormat="1" ht="57.75" customHeight="1" x14ac:dyDescent="0.25">
      <c r="A99" s="12" t="s">
        <v>20</v>
      </c>
      <c r="B99" s="66"/>
      <c r="C99" s="66"/>
      <c r="D99" s="136">
        <f t="shared" ref="D99:I99" si="37">SUM(D100:D103)</f>
        <v>464.29999999999995</v>
      </c>
      <c r="E99" s="136">
        <f t="shared" si="37"/>
        <v>37.700000000000003</v>
      </c>
      <c r="F99" s="136">
        <f t="shared" si="37"/>
        <v>463.3</v>
      </c>
      <c r="G99" s="136">
        <f t="shared" si="37"/>
        <v>37.6</v>
      </c>
      <c r="H99" s="136">
        <f t="shared" si="37"/>
        <v>463.3</v>
      </c>
      <c r="I99" s="136">
        <f t="shared" si="37"/>
        <v>37.6</v>
      </c>
      <c r="J99" s="83"/>
      <c r="K99" s="83"/>
      <c r="L99" s="83"/>
      <c r="M99" s="83"/>
      <c r="N99" s="83"/>
      <c r="O99" s="83"/>
      <c r="P99" s="83"/>
      <c r="Q99" s="83"/>
      <c r="R99" s="83"/>
      <c r="S99" s="83"/>
    </row>
    <row r="100" spans="1:19" s="16" customFormat="1" ht="75" customHeight="1" x14ac:dyDescent="0.25">
      <c r="A100" s="27" t="s">
        <v>21</v>
      </c>
      <c r="B100" s="71">
        <v>913</v>
      </c>
      <c r="C100" s="71" t="s">
        <v>57</v>
      </c>
      <c r="D100" s="154">
        <f>450.4+13.9</f>
        <v>464.29999999999995</v>
      </c>
      <c r="E100" s="154">
        <v>37.700000000000003</v>
      </c>
      <c r="F100" s="154">
        <f>449.5+13.8</f>
        <v>463.3</v>
      </c>
      <c r="G100" s="154">
        <v>37.6</v>
      </c>
      <c r="H100" s="154">
        <f>449.5+13.8</f>
        <v>463.3</v>
      </c>
      <c r="I100" s="154">
        <v>37.6</v>
      </c>
      <c r="J100" s="83"/>
      <c r="K100" s="83">
        <f>D100*7.5/92.5</f>
        <v>37.64594594594594</v>
      </c>
      <c r="L100" s="83">
        <f>E100-K100</f>
        <v>5.4054054054063272E-2</v>
      </c>
      <c r="M100" s="83">
        <f>F100*7.5/92.5</f>
        <v>37.564864864864866</v>
      </c>
      <c r="N100" s="83">
        <f>G100-M100</f>
        <v>3.5135135135135442E-2</v>
      </c>
      <c r="O100" s="83">
        <f>H100*7.5/92.5</f>
        <v>37.564864864864866</v>
      </c>
      <c r="P100" s="83">
        <f>I100-O100</f>
        <v>3.5135135135135442E-2</v>
      </c>
      <c r="Q100" s="83"/>
      <c r="R100" s="83"/>
      <c r="S100" s="83"/>
    </row>
    <row r="101" spans="1:19" s="16" customFormat="1" ht="75" hidden="1" customHeight="1" x14ac:dyDescent="0.25">
      <c r="A101" s="189"/>
      <c r="B101" s="190"/>
      <c r="C101" s="189"/>
      <c r="D101" s="190"/>
      <c r="E101" s="188"/>
      <c r="F101" s="138"/>
      <c r="G101" s="138"/>
      <c r="H101" s="138"/>
      <c r="I101" s="138"/>
      <c r="J101" s="83"/>
      <c r="K101" s="83"/>
      <c r="L101" s="83"/>
      <c r="M101" s="83"/>
      <c r="N101" s="83"/>
      <c r="O101" s="83"/>
      <c r="P101" s="83"/>
      <c r="Q101" s="83"/>
      <c r="R101" s="83"/>
      <c r="S101" s="83"/>
    </row>
    <row r="102" spans="1:19" s="16" customFormat="1" ht="75" hidden="1" customHeight="1" x14ac:dyDescent="0.25">
      <c r="A102" s="189"/>
      <c r="B102" s="190"/>
      <c r="C102" s="189"/>
      <c r="D102" s="190"/>
      <c r="E102" s="188"/>
      <c r="F102" s="138"/>
      <c r="G102" s="138"/>
      <c r="H102" s="138"/>
      <c r="I102" s="138"/>
      <c r="J102" s="83"/>
      <c r="K102" s="83"/>
      <c r="L102" s="83"/>
      <c r="M102" s="83"/>
      <c r="N102" s="83"/>
      <c r="O102" s="83"/>
      <c r="P102" s="83"/>
      <c r="Q102" s="83"/>
      <c r="R102" s="83"/>
      <c r="S102" s="83"/>
    </row>
    <row r="103" spans="1:19" s="16" customFormat="1" ht="15.75" hidden="1" customHeight="1" thickBot="1" x14ac:dyDescent="0.3">
      <c r="A103" s="32"/>
      <c r="B103" s="74"/>
      <c r="C103" s="74"/>
      <c r="D103" s="164"/>
      <c r="E103" s="164"/>
      <c r="F103" s="164"/>
      <c r="G103" s="164"/>
      <c r="H103" s="164"/>
      <c r="I103" s="164"/>
      <c r="J103" s="83"/>
      <c r="K103" s="83"/>
      <c r="L103" s="83"/>
      <c r="M103" s="83"/>
      <c r="N103" s="83"/>
      <c r="O103" s="83"/>
      <c r="P103" s="83"/>
      <c r="Q103" s="83"/>
      <c r="R103" s="83"/>
      <c r="S103" s="83"/>
    </row>
    <row r="104" spans="1:19" s="16" customFormat="1" ht="15.75" customHeight="1" thickBot="1" x14ac:dyDescent="0.3">
      <c r="A104" s="14"/>
      <c r="B104" s="63"/>
      <c r="C104" s="63"/>
      <c r="D104" s="135"/>
      <c r="E104" s="135"/>
      <c r="F104" s="135"/>
      <c r="G104" s="135"/>
      <c r="H104" s="135"/>
      <c r="I104" s="135"/>
      <c r="J104" s="83"/>
      <c r="K104" s="83"/>
      <c r="L104" s="83"/>
      <c r="M104" s="83"/>
      <c r="N104" s="83"/>
      <c r="O104" s="83"/>
      <c r="P104" s="83"/>
      <c r="Q104" s="83"/>
      <c r="R104" s="83"/>
      <c r="S104" s="83"/>
    </row>
    <row r="105" spans="1:19" s="37" customFormat="1" ht="21" customHeight="1" thickBot="1" x14ac:dyDescent="0.3">
      <c r="A105" s="34" t="s">
        <v>23</v>
      </c>
      <c r="B105" s="75"/>
      <c r="C105" s="75"/>
      <c r="D105" s="165">
        <f t="shared" ref="D105:I105" si="38">SUM(D14,D18,D37,D84,D95,D99)</f>
        <v>512057.1</v>
      </c>
      <c r="E105" s="165">
        <f t="shared" si="38"/>
        <v>31782.100000000002</v>
      </c>
      <c r="F105" s="165">
        <f t="shared" si="38"/>
        <v>340819.5</v>
      </c>
      <c r="G105" s="165">
        <f t="shared" si="38"/>
        <v>12703.7</v>
      </c>
      <c r="H105" s="165">
        <f t="shared" si="38"/>
        <v>408493.7</v>
      </c>
      <c r="I105" s="165">
        <f t="shared" si="38"/>
        <v>22525.1</v>
      </c>
      <c r="J105" s="127"/>
      <c r="K105" s="127"/>
      <c r="L105" s="127"/>
      <c r="M105" s="127"/>
      <c r="N105" s="127"/>
      <c r="O105" s="127"/>
      <c r="P105" s="127"/>
      <c r="Q105" s="127"/>
      <c r="R105" s="127"/>
      <c r="S105" s="127"/>
    </row>
    <row r="106" spans="1:19" s="37" customFormat="1" ht="21" customHeight="1" thickBot="1" x14ac:dyDescent="0.3">
      <c r="A106" s="38"/>
      <c r="B106" s="76"/>
      <c r="C106" s="76"/>
      <c r="D106" s="166"/>
      <c r="E106" s="166"/>
      <c r="F106" s="166"/>
      <c r="G106" s="166"/>
      <c r="H106" s="166"/>
      <c r="I106" s="166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</row>
    <row r="107" spans="1:19" s="37" customFormat="1" ht="39" customHeight="1" x14ac:dyDescent="0.25">
      <c r="A107" s="12" t="s">
        <v>24</v>
      </c>
      <c r="B107" s="66"/>
      <c r="C107" s="66"/>
      <c r="D107" s="136">
        <f t="shared" ref="D107:I107" si="39">SUM(D108:D112)</f>
        <v>2000</v>
      </c>
      <c r="E107" s="136">
        <f t="shared" si="39"/>
        <v>0</v>
      </c>
      <c r="F107" s="136">
        <f t="shared" si="39"/>
        <v>0</v>
      </c>
      <c r="G107" s="136">
        <f t="shared" si="39"/>
        <v>0</v>
      </c>
      <c r="H107" s="136">
        <f t="shared" si="39"/>
        <v>0</v>
      </c>
      <c r="I107" s="136">
        <f t="shared" si="39"/>
        <v>0</v>
      </c>
      <c r="J107" s="127"/>
      <c r="K107" s="127"/>
      <c r="L107" s="127"/>
      <c r="M107" s="127"/>
      <c r="N107" s="127"/>
      <c r="O107" s="127"/>
      <c r="P107" s="127"/>
      <c r="Q107" s="127"/>
      <c r="R107" s="127"/>
      <c r="S107" s="127"/>
    </row>
    <row r="108" spans="1:19" s="23" customFormat="1" ht="93" hidden="1" customHeight="1" x14ac:dyDescent="0.25">
      <c r="A108" s="43" t="s">
        <v>82</v>
      </c>
      <c r="B108" s="73">
        <v>904</v>
      </c>
      <c r="C108" s="73" t="s">
        <v>55</v>
      </c>
      <c r="D108" s="138">
        <f>29951.4-29951.4</f>
        <v>0</v>
      </c>
      <c r="E108" s="138"/>
      <c r="F108" s="138"/>
      <c r="G108" s="138"/>
      <c r="H108" s="138"/>
      <c r="I108" s="138"/>
      <c r="J108" s="126"/>
      <c r="K108" s="126"/>
      <c r="L108" s="126"/>
      <c r="M108" s="126"/>
      <c r="N108" s="126"/>
      <c r="O108" s="126"/>
      <c r="P108" s="126"/>
      <c r="Q108" s="126"/>
      <c r="R108" s="126"/>
      <c r="S108" s="126"/>
    </row>
    <row r="109" spans="1:19" s="23" customFormat="1" ht="99.75" hidden="1" customHeight="1" x14ac:dyDescent="0.25">
      <c r="A109" s="43" t="s">
        <v>25</v>
      </c>
      <c r="B109" s="73"/>
      <c r="C109" s="73"/>
      <c r="D109" s="138"/>
      <c r="E109" s="138"/>
      <c r="F109" s="138"/>
      <c r="G109" s="138"/>
      <c r="H109" s="138"/>
      <c r="I109" s="138"/>
      <c r="J109" s="126"/>
      <c r="K109" s="126"/>
      <c r="L109" s="126"/>
      <c r="M109" s="126"/>
      <c r="N109" s="126"/>
      <c r="O109" s="126"/>
      <c r="P109" s="126"/>
      <c r="Q109" s="126"/>
      <c r="R109" s="126"/>
      <c r="S109" s="126"/>
    </row>
    <row r="110" spans="1:19" s="23" customFormat="1" ht="99.75" customHeight="1" x14ac:dyDescent="0.25">
      <c r="A110" s="186" t="s">
        <v>131</v>
      </c>
      <c r="B110" s="187">
        <v>2000</v>
      </c>
      <c r="C110" s="186" t="s">
        <v>131</v>
      </c>
      <c r="D110" s="187">
        <v>2000</v>
      </c>
      <c r="E110" s="138"/>
      <c r="F110" s="138"/>
      <c r="G110" s="138"/>
      <c r="H110" s="138"/>
      <c r="I110" s="138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</row>
    <row r="111" spans="1:19" s="23" customFormat="1" ht="75.75" hidden="1" customHeight="1" x14ac:dyDescent="0.25">
      <c r="A111" s="43"/>
      <c r="B111" s="73"/>
      <c r="C111" s="73"/>
      <c r="D111" s="138"/>
      <c r="E111" s="138"/>
      <c r="F111" s="138"/>
      <c r="G111" s="138"/>
      <c r="H111" s="138"/>
      <c r="I111" s="138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</row>
    <row r="112" spans="1:19" s="37" customFormat="1" ht="13.5" thickBot="1" x14ac:dyDescent="0.3">
      <c r="A112" s="21"/>
      <c r="B112" s="68"/>
      <c r="C112" s="68"/>
      <c r="D112" s="139"/>
      <c r="E112" s="139"/>
      <c r="F112" s="139"/>
      <c r="G112" s="139"/>
      <c r="H112" s="139"/>
      <c r="I112" s="139"/>
      <c r="J112" s="127"/>
      <c r="K112" s="127"/>
      <c r="L112" s="127"/>
      <c r="M112" s="127"/>
      <c r="N112" s="127"/>
      <c r="O112" s="127"/>
      <c r="P112" s="127"/>
      <c r="Q112" s="127"/>
      <c r="R112" s="127"/>
      <c r="S112" s="127"/>
    </row>
    <row r="113" spans="1:19" s="37" customFormat="1" ht="13.5" customHeight="1" thickBot="1" x14ac:dyDescent="0.3">
      <c r="A113" s="40"/>
      <c r="B113" s="76"/>
      <c r="C113" s="76"/>
      <c r="D113" s="167"/>
      <c r="E113" s="167"/>
      <c r="F113" s="167"/>
      <c r="G113" s="167"/>
      <c r="H113" s="167"/>
      <c r="I113" s="167"/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</row>
    <row r="114" spans="1:19" s="37" customFormat="1" ht="30.75" hidden="1" customHeight="1" x14ac:dyDescent="0.25">
      <c r="A114" s="12" t="s">
        <v>26</v>
      </c>
      <c r="B114" s="66"/>
      <c r="C114" s="66"/>
      <c r="D114" s="136">
        <f t="shared" ref="D114:I114" si="40">SUM(D115:D118)</f>
        <v>0</v>
      </c>
      <c r="E114" s="136">
        <f t="shared" si="40"/>
        <v>0</v>
      </c>
      <c r="F114" s="136">
        <f t="shared" si="40"/>
        <v>0</v>
      </c>
      <c r="G114" s="136">
        <f t="shared" si="40"/>
        <v>0</v>
      </c>
      <c r="H114" s="136">
        <f t="shared" si="40"/>
        <v>0</v>
      </c>
      <c r="I114" s="136">
        <f t="shared" si="40"/>
        <v>0</v>
      </c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</row>
    <row r="115" spans="1:19" s="23" customFormat="1" ht="120" hidden="1" customHeight="1" x14ac:dyDescent="0.25">
      <c r="A115" s="43" t="s">
        <v>27</v>
      </c>
      <c r="B115" s="73"/>
      <c r="C115" s="73"/>
      <c r="D115" s="138">
        <v>0</v>
      </c>
      <c r="E115" s="138"/>
      <c r="F115" s="138"/>
      <c r="G115" s="138"/>
      <c r="H115" s="138"/>
      <c r="I115" s="138"/>
      <c r="J115" s="126"/>
      <c r="K115" s="126"/>
      <c r="L115" s="126"/>
      <c r="M115" s="126"/>
      <c r="N115" s="126"/>
      <c r="O115" s="126"/>
      <c r="P115" s="126"/>
      <c r="Q115" s="126"/>
      <c r="R115" s="126"/>
      <c r="S115" s="126"/>
    </row>
    <row r="116" spans="1:19" s="23" customFormat="1" ht="72.75" hidden="1" customHeight="1" x14ac:dyDescent="0.25">
      <c r="A116" s="43" t="s">
        <v>70</v>
      </c>
      <c r="B116" s="73"/>
      <c r="C116" s="73"/>
      <c r="D116" s="138"/>
      <c r="E116" s="138"/>
      <c r="F116" s="138"/>
      <c r="G116" s="138"/>
      <c r="H116" s="138"/>
      <c r="I116" s="138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</row>
    <row r="117" spans="1:19" s="23" customFormat="1" ht="72.75" hidden="1" customHeight="1" x14ac:dyDescent="0.25">
      <c r="A117" s="43" t="s">
        <v>62</v>
      </c>
      <c r="B117" s="73"/>
      <c r="C117" s="73"/>
      <c r="D117" s="138"/>
      <c r="E117" s="138"/>
      <c r="F117" s="138"/>
      <c r="G117" s="138"/>
      <c r="H117" s="138"/>
      <c r="I117" s="138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</row>
    <row r="118" spans="1:19" s="37" customFormat="1" ht="15" hidden="1" customHeight="1" thickBot="1" x14ac:dyDescent="0.3">
      <c r="A118" s="21"/>
      <c r="B118" s="68"/>
      <c r="C118" s="68"/>
      <c r="D118" s="168"/>
      <c r="E118" s="168"/>
      <c r="F118" s="168"/>
      <c r="G118" s="168"/>
      <c r="H118" s="168"/>
      <c r="I118" s="168"/>
      <c r="J118" s="127"/>
      <c r="K118" s="127"/>
      <c r="L118" s="127"/>
      <c r="M118" s="127"/>
      <c r="N118" s="127"/>
      <c r="O118" s="127"/>
      <c r="P118" s="127"/>
      <c r="Q118" s="127"/>
      <c r="R118" s="127"/>
      <c r="S118" s="127"/>
    </row>
    <row r="119" spans="1:19" s="37" customFormat="1" ht="15.75" hidden="1" customHeight="1" thickBot="1" x14ac:dyDescent="0.3">
      <c r="A119" s="23"/>
      <c r="B119" s="65"/>
      <c r="C119" s="65"/>
      <c r="D119" s="167"/>
      <c r="E119" s="167"/>
      <c r="F119" s="167"/>
      <c r="G119" s="167"/>
      <c r="H119" s="167"/>
      <c r="I119" s="167"/>
      <c r="J119" s="127"/>
      <c r="K119" s="127"/>
      <c r="L119" s="127"/>
      <c r="M119" s="127"/>
      <c r="N119" s="127"/>
      <c r="O119" s="127"/>
      <c r="P119" s="127"/>
      <c r="Q119" s="127"/>
      <c r="R119" s="127"/>
      <c r="S119" s="127"/>
    </row>
    <row r="120" spans="1:19" s="37" customFormat="1" ht="31.5" customHeight="1" thickBot="1" x14ac:dyDescent="0.3">
      <c r="A120" s="114" t="s">
        <v>28</v>
      </c>
      <c r="B120" s="111"/>
      <c r="C120" s="111"/>
      <c r="D120" s="169">
        <f t="shared" ref="D120:I120" si="41">SUM(D121:D122)</f>
        <v>1030.4000000000001</v>
      </c>
      <c r="E120" s="169">
        <f t="shared" si="41"/>
        <v>0</v>
      </c>
      <c r="F120" s="169">
        <f t="shared" si="41"/>
        <v>0</v>
      </c>
      <c r="G120" s="169">
        <f t="shared" si="41"/>
        <v>0</v>
      </c>
      <c r="H120" s="169">
        <f t="shared" si="41"/>
        <v>0</v>
      </c>
      <c r="I120" s="169">
        <f t="shared" si="41"/>
        <v>0</v>
      </c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</row>
    <row r="121" spans="1:19" s="37" customFormat="1" ht="63" customHeight="1" x14ac:dyDescent="0.25">
      <c r="A121" s="186" t="s">
        <v>136</v>
      </c>
      <c r="B121" s="187">
        <v>1030.4000000000001</v>
      </c>
      <c r="C121" s="186" t="s">
        <v>136</v>
      </c>
      <c r="D121" s="187">
        <v>1030.4000000000001</v>
      </c>
      <c r="E121" s="171"/>
      <c r="F121" s="171"/>
      <c r="G121" s="171"/>
      <c r="H121" s="171"/>
      <c r="I121" s="172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</row>
    <row r="122" spans="1:19" s="37" customFormat="1" ht="15" customHeight="1" thickBot="1" x14ac:dyDescent="0.3">
      <c r="A122" s="103"/>
      <c r="B122" s="104"/>
      <c r="C122" s="104"/>
      <c r="D122" s="173"/>
      <c r="E122" s="173"/>
      <c r="F122" s="173"/>
      <c r="G122" s="173"/>
      <c r="H122" s="173"/>
      <c r="I122" s="174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</row>
    <row r="123" spans="1:19" s="37" customFormat="1" ht="13.5" customHeight="1" x14ac:dyDescent="0.25">
      <c r="A123" s="38"/>
      <c r="B123" s="76"/>
      <c r="C123" s="76"/>
      <c r="D123" s="166"/>
      <c r="E123" s="166"/>
      <c r="F123" s="166"/>
      <c r="G123" s="166"/>
      <c r="H123" s="166"/>
      <c r="I123" s="166"/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</row>
    <row r="124" spans="1:19" s="14" customFormat="1" ht="33.75" hidden="1" customHeight="1" x14ac:dyDescent="0.25">
      <c r="A124" s="42" t="s">
        <v>28</v>
      </c>
      <c r="B124" s="66"/>
      <c r="C124" s="66"/>
      <c r="D124" s="136">
        <f t="shared" ref="D124:I124" si="42">SUM(D125:D127)</f>
        <v>0</v>
      </c>
      <c r="E124" s="136">
        <f t="shared" si="42"/>
        <v>0</v>
      </c>
      <c r="F124" s="136"/>
      <c r="G124" s="136">
        <f t="shared" si="42"/>
        <v>0</v>
      </c>
      <c r="H124" s="136">
        <f t="shared" si="42"/>
        <v>0</v>
      </c>
      <c r="I124" s="136">
        <f t="shared" si="42"/>
        <v>0</v>
      </c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</row>
    <row r="125" spans="1:19" s="23" customFormat="1" ht="57" hidden="1" customHeight="1" x14ac:dyDescent="0.25">
      <c r="B125" s="73"/>
      <c r="C125" s="73"/>
      <c r="D125" s="138"/>
      <c r="E125" s="138"/>
      <c r="F125" s="175"/>
      <c r="G125" s="138"/>
      <c r="H125" s="138"/>
      <c r="I125" s="138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</row>
    <row r="126" spans="1:19" s="23" customFormat="1" ht="60.75" hidden="1" customHeight="1" x14ac:dyDescent="0.25">
      <c r="B126" s="73"/>
      <c r="C126" s="73"/>
      <c r="D126" s="138"/>
      <c r="E126" s="138"/>
      <c r="F126" s="175"/>
      <c r="G126" s="138"/>
      <c r="H126" s="138"/>
      <c r="I126" s="138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</row>
    <row r="127" spans="1:19" s="18" customFormat="1" ht="12" hidden="1" customHeight="1" thickBot="1" x14ac:dyDescent="0.3">
      <c r="A127" s="44"/>
      <c r="B127" s="77"/>
      <c r="C127" s="77"/>
      <c r="D127" s="176"/>
      <c r="E127" s="176"/>
      <c r="F127" s="176"/>
      <c r="G127" s="176"/>
      <c r="H127" s="176"/>
      <c r="I127" s="176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</row>
    <row r="128" spans="1:19" s="18" customFormat="1" ht="13.5" thickBot="1" x14ac:dyDescent="0.3">
      <c r="A128" s="46"/>
      <c r="B128" s="78"/>
      <c r="C128" s="78"/>
      <c r="D128" s="177"/>
      <c r="E128" s="177"/>
      <c r="F128" s="177"/>
      <c r="G128" s="177"/>
      <c r="H128" s="177"/>
      <c r="I128" s="177"/>
      <c r="J128" s="125"/>
      <c r="K128" s="125"/>
      <c r="L128" s="125"/>
      <c r="M128" s="125"/>
      <c r="N128" s="125"/>
      <c r="O128" s="125"/>
      <c r="P128" s="125"/>
      <c r="Q128" s="125"/>
      <c r="R128" s="125"/>
      <c r="S128" s="125"/>
    </row>
    <row r="129" spans="1:19" s="14" customFormat="1" ht="30.75" customHeight="1" x14ac:dyDescent="0.25">
      <c r="A129" s="42" t="s">
        <v>29</v>
      </c>
      <c r="B129" s="66"/>
      <c r="C129" s="66"/>
      <c r="D129" s="136">
        <f t="shared" ref="D129:I129" si="43">SUM(D130:D138)</f>
        <v>30625</v>
      </c>
      <c r="E129" s="136">
        <f t="shared" si="43"/>
        <v>6699</v>
      </c>
      <c r="F129" s="136">
        <f t="shared" si="43"/>
        <v>91.5</v>
      </c>
      <c r="G129" s="136">
        <f t="shared" si="43"/>
        <v>0</v>
      </c>
      <c r="H129" s="136">
        <f t="shared" si="43"/>
        <v>46414.8</v>
      </c>
      <c r="I129" s="136">
        <f t="shared" si="43"/>
        <v>0</v>
      </c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</row>
    <row r="130" spans="1:19" s="23" customFormat="1" ht="56.25" customHeight="1" x14ac:dyDescent="0.25">
      <c r="A130" s="28" t="s">
        <v>15</v>
      </c>
      <c r="B130" s="67">
        <v>904</v>
      </c>
      <c r="C130" s="67" t="s">
        <v>53</v>
      </c>
      <c r="D130" s="143">
        <v>91.5</v>
      </c>
      <c r="E130" s="143"/>
      <c r="F130" s="143">
        <v>91.5</v>
      </c>
      <c r="G130" s="143"/>
      <c r="H130" s="143">
        <v>91.5</v>
      </c>
      <c r="I130" s="143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</row>
    <row r="131" spans="1:19" s="16" customFormat="1" ht="61.5" hidden="1" customHeight="1" x14ac:dyDescent="0.25">
      <c r="A131" s="43" t="s">
        <v>71</v>
      </c>
      <c r="B131" s="73"/>
      <c r="C131" s="73"/>
      <c r="D131" s="138"/>
      <c r="E131" s="138"/>
      <c r="F131" s="138"/>
      <c r="G131" s="138"/>
      <c r="H131" s="138"/>
      <c r="I131" s="138"/>
      <c r="J131" s="83"/>
      <c r="K131" s="83"/>
      <c r="L131" s="83"/>
      <c r="M131" s="83"/>
      <c r="N131" s="83"/>
      <c r="O131" s="83"/>
      <c r="P131" s="83"/>
      <c r="Q131" s="83"/>
      <c r="R131" s="83"/>
      <c r="S131" s="83"/>
    </row>
    <row r="132" spans="1:19" s="16" customFormat="1" ht="63.75" hidden="1" customHeight="1" x14ac:dyDescent="0.25">
      <c r="A132" s="43" t="s">
        <v>72</v>
      </c>
      <c r="B132" s="73"/>
      <c r="C132" s="73"/>
      <c r="D132" s="138"/>
      <c r="E132" s="138"/>
      <c r="F132" s="138"/>
      <c r="G132" s="138"/>
      <c r="H132" s="138"/>
      <c r="I132" s="138"/>
      <c r="J132" s="83"/>
      <c r="K132" s="83"/>
      <c r="L132" s="83"/>
      <c r="M132" s="83"/>
      <c r="N132" s="83"/>
      <c r="O132" s="83"/>
      <c r="P132" s="83"/>
      <c r="Q132" s="83"/>
      <c r="R132" s="83"/>
      <c r="S132" s="83"/>
    </row>
    <row r="133" spans="1:19" s="16" customFormat="1" ht="89.25" hidden="1" customHeight="1" x14ac:dyDescent="0.25">
      <c r="A133" s="88" t="s">
        <v>61</v>
      </c>
      <c r="B133" s="73"/>
      <c r="C133" s="73"/>
      <c r="D133" s="138"/>
      <c r="E133" s="138"/>
      <c r="F133" s="138"/>
      <c r="G133" s="138"/>
      <c r="H133" s="138"/>
      <c r="I133" s="138"/>
      <c r="J133" s="83"/>
      <c r="K133" s="83"/>
      <c r="L133" s="83"/>
      <c r="M133" s="83"/>
      <c r="N133" s="83"/>
      <c r="O133" s="83"/>
      <c r="P133" s="83"/>
      <c r="Q133" s="83"/>
      <c r="R133" s="83"/>
      <c r="S133" s="83"/>
    </row>
    <row r="134" spans="1:19" s="16" customFormat="1" ht="82.5" customHeight="1" x14ac:dyDescent="0.25">
      <c r="A134" s="88" t="s">
        <v>119</v>
      </c>
      <c r="B134" s="73"/>
      <c r="C134" s="73"/>
      <c r="D134" s="138">
        <v>4582.1000000000004</v>
      </c>
      <c r="E134" s="138">
        <f>1361-989.4</f>
        <v>371.6</v>
      </c>
      <c r="F134" s="138"/>
      <c r="G134" s="138"/>
      <c r="H134" s="138"/>
      <c r="I134" s="138"/>
      <c r="J134" s="83"/>
      <c r="K134" s="83"/>
      <c r="L134" s="83"/>
      <c r="M134" s="83"/>
      <c r="N134" s="83"/>
      <c r="O134" s="83"/>
      <c r="P134" s="83"/>
      <c r="Q134" s="83"/>
      <c r="R134" s="83"/>
      <c r="S134" s="83"/>
    </row>
    <row r="135" spans="1:19" s="16" customFormat="1" ht="82.5" customHeight="1" x14ac:dyDescent="0.25">
      <c r="A135" s="88" t="s">
        <v>124</v>
      </c>
      <c r="B135" s="73"/>
      <c r="C135" s="73"/>
      <c r="D135" s="138"/>
      <c r="E135" s="138"/>
      <c r="F135" s="138"/>
      <c r="G135" s="138"/>
      <c r="H135" s="183">
        <v>46323.3</v>
      </c>
      <c r="I135" s="138"/>
      <c r="J135" s="83"/>
      <c r="K135" s="83"/>
      <c r="L135" s="83"/>
      <c r="M135" s="83"/>
      <c r="N135" s="83"/>
      <c r="O135" s="83"/>
      <c r="P135" s="83"/>
      <c r="Q135" s="83"/>
      <c r="R135" s="83"/>
      <c r="S135" s="83"/>
    </row>
    <row r="136" spans="1:19" s="16" customFormat="1" ht="82.5" customHeight="1" x14ac:dyDescent="0.25">
      <c r="A136" s="186" t="s">
        <v>129</v>
      </c>
      <c r="B136" s="187">
        <v>25951.4</v>
      </c>
      <c r="C136" s="186" t="s">
        <v>129</v>
      </c>
      <c r="D136" s="187">
        <v>25951.4</v>
      </c>
      <c r="E136" s="138">
        <v>2916.2</v>
      </c>
      <c r="F136" s="138"/>
      <c r="G136" s="138"/>
      <c r="H136" s="183"/>
      <c r="I136" s="138"/>
      <c r="J136" s="83"/>
      <c r="K136" s="83"/>
      <c r="L136" s="83"/>
      <c r="M136" s="83"/>
      <c r="N136" s="83"/>
      <c r="O136" s="83"/>
      <c r="P136" s="83"/>
      <c r="Q136" s="83"/>
      <c r="R136" s="83"/>
      <c r="S136" s="83"/>
    </row>
    <row r="137" spans="1:19" s="16" customFormat="1" ht="68.25" customHeight="1" x14ac:dyDescent="0.25">
      <c r="A137" s="88" t="s">
        <v>139</v>
      </c>
      <c r="B137" s="73"/>
      <c r="C137" s="73"/>
      <c r="D137" s="138"/>
      <c r="E137" s="138">
        <v>3411.2</v>
      </c>
      <c r="F137" s="138"/>
      <c r="G137" s="138"/>
      <c r="H137" s="183"/>
      <c r="I137" s="138"/>
      <c r="J137" s="83"/>
      <c r="K137" s="83"/>
      <c r="L137" s="83"/>
      <c r="M137" s="83"/>
      <c r="N137" s="83"/>
      <c r="O137" s="83"/>
      <c r="P137" s="83"/>
      <c r="Q137" s="83"/>
      <c r="R137" s="83"/>
      <c r="S137" s="83"/>
    </row>
    <row r="138" spans="1:19" s="16" customFormat="1" ht="13.5" thickBot="1" x14ac:dyDescent="0.3">
      <c r="A138" s="47"/>
      <c r="B138" s="68"/>
      <c r="C138" s="68"/>
      <c r="D138" s="139"/>
      <c r="E138" s="139"/>
      <c r="F138" s="139"/>
      <c r="G138" s="139"/>
      <c r="H138" s="139"/>
      <c r="I138" s="139"/>
      <c r="J138" s="83"/>
      <c r="K138" s="83"/>
      <c r="L138" s="83"/>
      <c r="M138" s="83"/>
      <c r="N138" s="83"/>
      <c r="O138" s="83"/>
      <c r="P138" s="83"/>
      <c r="Q138" s="83"/>
      <c r="R138" s="83"/>
      <c r="S138" s="83"/>
    </row>
    <row r="139" spans="1:19" s="16" customFormat="1" x14ac:dyDescent="0.25">
      <c r="A139" s="48"/>
      <c r="B139" s="65"/>
      <c r="C139" s="65"/>
      <c r="D139" s="140"/>
      <c r="E139" s="140"/>
      <c r="F139" s="140"/>
      <c r="G139" s="140"/>
      <c r="H139" s="140"/>
      <c r="I139" s="140"/>
      <c r="J139" s="83"/>
      <c r="K139" s="83"/>
      <c r="L139" s="83"/>
      <c r="M139" s="83"/>
      <c r="N139" s="83"/>
      <c r="O139" s="83"/>
      <c r="P139" s="83"/>
      <c r="Q139" s="83"/>
      <c r="R139" s="83"/>
      <c r="S139" s="83"/>
    </row>
    <row r="140" spans="1:19" s="14" customFormat="1" ht="21" hidden="1" customHeight="1" x14ac:dyDescent="0.25">
      <c r="A140" s="42" t="s">
        <v>30</v>
      </c>
      <c r="B140" s="66"/>
      <c r="C140" s="66"/>
      <c r="D140" s="136">
        <f t="shared" ref="D140:I140" si="44">SUM(D141:D142)</f>
        <v>0</v>
      </c>
      <c r="E140" s="136">
        <f t="shared" si="44"/>
        <v>0</v>
      </c>
      <c r="F140" s="136">
        <f t="shared" si="44"/>
        <v>0</v>
      </c>
      <c r="G140" s="136">
        <f t="shared" si="44"/>
        <v>0</v>
      </c>
      <c r="H140" s="136">
        <f t="shared" si="44"/>
        <v>0</v>
      </c>
      <c r="I140" s="136">
        <f t="shared" si="44"/>
        <v>0</v>
      </c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</row>
    <row r="141" spans="1:19" s="23" customFormat="1" ht="100.5" hidden="1" customHeight="1" x14ac:dyDescent="0.25">
      <c r="A141" s="31"/>
      <c r="B141" s="73"/>
      <c r="C141" s="73"/>
      <c r="D141" s="138"/>
      <c r="E141" s="138"/>
      <c r="F141" s="138"/>
      <c r="G141" s="138"/>
      <c r="H141" s="138"/>
      <c r="I141" s="138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</row>
    <row r="142" spans="1:19" s="16" customFormat="1" ht="13.5" hidden="1" thickBot="1" x14ac:dyDescent="0.3">
      <c r="A142" s="47"/>
      <c r="B142" s="68"/>
      <c r="C142" s="68"/>
      <c r="D142" s="139"/>
      <c r="E142" s="139"/>
      <c r="F142" s="139"/>
      <c r="G142" s="139"/>
      <c r="H142" s="139"/>
      <c r="I142" s="139"/>
      <c r="J142" s="83"/>
      <c r="K142" s="83"/>
      <c r="L142" s="83"/>
      <c r="M142" s="83"/>
      <c r="N142" s="83"/>
      <c r="O142" s="83"/>
      <c r="P142" s="83"/>
      <c r="Q142" s="83"/>
      <c r="R142" s="83"/>
      <c r="S142" s="83"/>
    </row>
    <row r="143" spans="1:19" s="16" customFormat="1" ht="13.5" thickBot="1" x14ac:dyDescent="0.3">
      <c r="A143" s="48"/>
      <c r="B143" s="65"/>
      <c r="C143" s="65"/>
      <c r="D143" s="140"/>
      <c r="E143" s="140"/>
      <c r="F143" s="140"/>
      <c r="G143" s="140"/>
      <c r="H143" s="140"/>
      <c r="I143" s="140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4" customFormat="1" ht="26.25" customHeight="1" x14ac:dyDescent="0.25">
      <c r="A144" s="42" t="s">
        <v>31</v>
      </c>
      <c r="B144" s="66"/>
      <c r="C144" s="66"/>
      <c r="D144" s="136">
        <f t="shared" ref="D144:I144" si="45">SUM(D145:D149)</f>
        <v>5081.3</v>
      </c>
      <c r="E144" s="136">
        <f t="shared" si="45"/>
        <v>0</v>
      </c>
      <c r="F144" s="136">
        <f t="shared" si="45"/>
        <v>0</v>
      </c>
      <c r="G144" s="136">
        <f t="shared" si="45"/>
        <v>0</v>
      </c>
      <c r="H144" s="136">
        <f t="shared" si="45"/>
        <v>0</v>
      </c>
      <c r="I144" s="136">
        <f t="shared" si="45"/>
        <v>0</v>
      </c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</row>
    <row r="145" spans="1:19" s="23" customFormat="1" ht="69" customHeight="1" x14ac:dyDescent="0.25">
      <c r="A145" s="31" t="s">
        <v>127</v>
      </c>
      <c r="B145" s="73">
        <v>904</v>
      </c>
      <c r="C145" s="73" t="s">
        <v>59</v>
      </c>
      <c r="D145" s="138">
        <v>3826.1</v>
      </c>
      <c r="E145" s="138"/>
      <c r="F145" s="138"/>
      <c r="G145" s="138"/>
      <c r="H145" s="138"/>
      <c r="I145" s="138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</row>
    <row r="146" spans="1:19" s="23" customFormat="1" ht="109.5" customHeight="1" x14ac:dyDescent="0.25">
      <c r="A146" s="185" t="s">
        <v>128</v>
      </c>
      <c r="B146" s="184">
        <v>1255.2</v>
      </c>
      <c r="C146" s="185" t="s">
        <v>128</v>
      </c>
      <c r="D146" s="184">
        <v>1255.2</v>
      </c>
      <c r="E146" s="163"/>
      <c r="F146" s="163"/>
      <c r="G146" s="163"/>
      <c r="H146" s="178"/>
      <c r="I146" s="163"/>
      <c r="J146" s="126"/>
      <c r="K146" s="126"/>
      <c r="L146" s="126"/>
      <c r="M146" s="126"/>
      <c r="N146" s="126"/>
      <c r="O146" s="126"/>
      <c r="P146" s="126"/>
      <c r="Q146" s="126"/>
      <c r="R146" s="126"/>
      <c r="S146" s="126"/>
    </row>
    <row r="147" spans="1:19" s="23" customFormat="1" ht="69" hidden="1" customHeight="1" x14ac:dyDescent="0.25">
      <c r="A147" s="93"/>
      <c r="B147" s="94"/>
      <c r="C147" s="94"/>
      <c r="D147" s="163"/>
      <c r="E147" s="163"/>
      <c r="F147" s="163"/>
      <c r="G147" s="163"/>
      <c r="H147" s="178"/>
      <c r="I147" s="163"/>
      <c r="J147" s="126"/>
      <c r="K147" s="126"/>
      <c r="L147" s="126"/>
      <c r="M147" s="126"/>
      <c r="N147" s="126"/>
      <c r="O147" s="126"/>
      <c r="P147" s="126"/>
      <c r="Q147" s="126"/>
      <c r="R147" s="126"/>
      <c r="S147" s="126"/>
    </row>
    <row r="148" spans="1:19" s="23" customFormat="1" ht="69" hidden="1" customHeight="1" x14ac:dyDescent="0.25">
      <c r="A148" s="93"/>
      <c r="B148" s="94"/>
      <c r="C148" s="94"/>
      <c r="D148" s="163"/>
      <c r="E148" s="163"/>
      <c r="F148" s="163"/>
      <c r="G148" s="163"/>
      <c r="H148" s="178"/>
      <c r="I148" s="163"/>
      <c r="J148" s="126"/>
      <c r="K148" s="126"/>
      <c r="L148" s="126"/>
      <c r="M148" s="126"/>
      <c r="N148" s="126"/>
      <c r="O148" s="126"/>
      <c r="P148" s="126"/>
      <c r="Q148" s="126"/>
      <c r="R148" s="126"/>
      <c r="S148" s="126"/>
    </row>
    <row r="149" spans="1:19" s="16" customFormat="1" ht="13.5" thickBot="1" x14ac:dyDescent="0.3">
      <c r="A149" s="47"/>
      <c r="B149" s="68"/>
      <c r="C149" s="68"/>
      <c r="D149" s="139"/>
      <c r="E149" s="139"/>
      <c r="F149" s="139"/>
      <c r="G149" s="139"/>
      <c r="H149" s="139"/>
      <c r="I149" s="139"/>
      <c r="J149" s="83"/>
      <c r="K149" s="83"/>
      <c r="L149" s="83"/>
      <c r="M149" s="83"/>
      <c r="N149" s="83"/>
      <c r="O149" s="83"/>
      <c r="P149" s="83"/>
      <c r="Q149" s="83"/>
      <c r="R149" s="83"/>
      <c r="S149" s="83"/>
    </row>
    <row r="150" spans="1:19" s="16" customFormat="1" ht="13.5" thickBot="1" x14ac:dyDescent="0.3">
      <c r="A150" s="48"/>
      <c r="B150" s="65"/>
      <c r="C150" s="65"/>
      <c r="D150" s="140"/>
      <c r="E150" s="140"/>
      <c r="F150" s="140"/>
      <c r="G150" s="140"/>
      <c r="H150" s="140"/>
      <c r="I150" s="140"/>
      <c r="J150" s="83"/>
      <c r="K150" s="83"/>
      <c r="L150" s="83"/>
      <c r="M150" s="83"/>
      <c r="N150" s="83"/>
      <c r="O150" s="83"/>
      <c r="P150" s="83"/>
      <c r="Q150" s="83"/>
      <c r="R150" s="83"/>
      <c r="S150" s="83"/>
    </row>
    <row r="151" spans="1:19" s="14" customFormat="1" ht="21" customHeight="1" x14ac:dyDescent="0.25">
      <c r="A151" s="42" t="s">
        <v>32</v>
      </c>
      <c r="B151" s="66"/>
      <c r="C151" s="66"/>
      <c r="D151" s="136">
        <f t="shared" ref="D151:I151" si="46">SUM(D152:D157)</f>
        <v>5826.1</v>
      </c>
      <c r="E151" s="136">
        <f t="shared" si="46"/>
        <v>0</v>
      </c>
      <c r="F151" s="136">
        <f t="shared" si="46"/>
        <v>57696.1</v>
      </c>
      <c r="G151" s="136">
        <f t="shared" si="46"/>
        <v>0</v>
      </c>
      <c r="H151" s="136">
        <f t="shared" si="46"/>
        <v>0</v>
      </c>
      <c r="I151" s="136">
        <f t="shared" si="46"/>
        <v>0</v>
      </c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</row>
    <row r="152" spans="1:19" s="23" customFormat="1" ht="112.5" hidden="1" customHeight="1" x14ac:dyDescent="0.25">
      <c r="A152" s="27" t="s">
        <v>33</v>
      </c>
      <c r="B152" s="71"/>
      <c r="C152" s="71"/>
      <c r="D152" s="154">
        <v>0</v>
      </c>
      <c r="E152" s="154">
        <v>0</v>
      </c>
      <c r="F152" s="154">
        <v>0</v>
      </c>
      <c r="G152" s="154">
        <v>0</v>
      </c>
      <c r="H152" s="154">
        <v>0</v>
      </c>
      <c r="I152" s="154">
        <v>0</v>
      </c>
      <c r="J152" s="126"/>
      <c r="K152" s="126"/>
      <c r="L152" s="126"/>
      <c r="M152" s="126"/>
      <c r="N152" s="126"/>
      <c r="O152" s="126"/>
      <c r="P152" s="126"/>
      <c r="Q152" s="126"/>
      <c r="R152" s="126"/>
      <c r="S152" s="126"/>
    </row>
    <row r="153" spans="1:19" s="23" customFormat="1" ht="99.75" hidden="1" customHeight="1" x14ac:dyDescent="0.25">
      <c r="A153" s="31" t="s">
        <v>45</v>
      </c>
      <c r="B153" s="73">
        <v>904</v>
      </c>
      <c r="C153" s="73" t="s">
        <v>59</v>
      </c>
      <c r="D153" s="138">
        <f>1634-1634</f>
        <v>0</v>
      </c>
      <c r="E153" s="138"/>
      <c r="F153" s="138"/>
      <c r="G153" s="138"/>
      <c r="H153" s="138"/>
      <c r="I153" s="138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</row>
    <row r="154" spans="1:19" s="23" customFormat="1" ht="99.75" customHeight="1" x14ac:dyDescent="0.25">
      <c r="A154" s="31" t="s">
        <v>138</v>
      </c>
      <c r="B154" s="73"/>
      <c r="C154" s="73"/>
      <c r="D154" s="138"/>
      <c r="E154" s="138"/>
      <c r="F154" s="138">
        <v>57696.1</v>
      </c>
      <c r="G154" s="138"/>
      <c r="H154" s="138"/>
      <c r="I154" s="138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</row>
    <row r="155" spans="1:19" s="23" customFormat="1" ht="99.75" customHeight="1" x14ac:dyDescent="0.25">
      <c r="A155" s="31" t="s">
        <v>127</v>
      </c>
      <c r="B155" s="73"/>
      <c r="C155" s="73"/>
      <c r="D155" s="138">
        <v>3826.1</v>
      </c>
      <c r="E155" s="138"/>
      <c r="F155" s="138"/>
      <c r="G155" s="138"/>
      <c r="H155" s="138"/>
      <c r="I155" s="138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</row>
    <row r="156" spans="1:19" s="23" customFormat="1" ht="99.75" customHeight="1" x14ac:dyDescent="0.25">
      <c r="A156" s="186" t="s">
        <v>133</v>
      </c>
      <c r="B156" s="187">
        <v>2000</v>
      </c>
      <c r="C156" s="186" t="s">
        <v>133</v>
      </c>
      <c r="D156" s="187">
        <v>2000</v>
      </c>
      <c r="E156" s="138"/>
      <c r="F156" s="138"/>
      <c r="G156" s="138"/>
      <c r="H156" s="138"/>
      <c r="I156" s="138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</row>
    <row r="157" spans="1:19" s="16" customFormat="1" ht="13.5" thickBot="1" x14ac:dyDescent="0.3">
      <c r="A157" s="47"/>
      <c r="B157" s="68"/>
      <c r="C157" s="68"/>
      <c r="D157" s="139"/>
      <c r="E157" s="139"/>
      <c r="F157" s="139"/>
      <c r="G157" s="139"/>
      <c r="H157" s="139"/>
      <c r="I157" s="139"/>
      <c r="J157" s="83"/>
      <c r="K157" s="83"/>
      <c r="L157" s="83"/>
      <c r="M157" s="83"/>
      <c r="N157" s="83"/>
      <c r="O157" s="83"/>
      <c r="P157" s="83"/>
      <c r="Q157" s="83"/>
      <c r="R157" s="83"/>
      <c r="S157" s="83"/>
    </row>
    <row r="158" spans="1:19" s="16" customFormat="1" ht="21.75" customHeight="1" thickBot="1" x14ac:dyDescent="0.3">
      <c r="A158" s="48"/>
      <c r="B158" s="65"/>
      <c r="C158" s="65"/>
      <c r="D158" s="140"/>
      <c r="E158" s="140"/>
      <c r="F158" s="140"/>
      <c r="G158" s="140"/>
      <c r="H158" s="140"/>
      <c r="I158" s="140"/>
      <c r="J158" s="83"/>
      <c r="K158" s="83"/>
      <c r="L158" s="83"/>
      <c r="M158" s="83"/>
      <c r="N158" s="83"/>
      <c r="O158" s="83"/>
      <c r="P158" s="83"/>
      <c r="Q158" s="83"/>
      <c r="R158" s="83"/>
      <c r="S158" s="83"/>
    </row>
    <row r="159" spans="1:19" s="14" customFormat="1" ht="21" hidden="1" customHeight="1" x14ac:dyDescent="0.25">
      <c r="A159" s="42" t="s">
        <v>34</v>
      </c>
      <c r="B159" s="66"/>
      <c r="C159" s="66"/>
      <c r="D159" s="136">
        <f t="shared" ref="D159:I159" si="47">SUM(D160:D161)</f>
        <v>0</v>
      </c>
      <c r="E159" s="136">
        <f t="shared" si="47"/>
        <v>0</v>
      </c>
      <c r="F159" s="136">
        <f t="shared" si="47"/>
        <v>0</v>
      </c>
      <c r="G159" s="136">
        <f t="shared" si="47"/>
        <v>0</v>
      </c>
      <c r="H159" s="136">
        <f t="shared" si="47"/>
        <v>0</v>
      </c>
      <c r="I159" s="136">
        <f t="shared" si="47"/>
        <v>0</v>
      </c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</row>
    <row r="160" spans="1:19" s="23" customFormat="1" hidden="1" x14ac:dyDescent="0.25">
      <c r="A160" s="43"/>
      <c r="B160" s="73"/>
      <c r="C160" s="73"/>
      <c r="D160" s="138"/>
      <c r="E160" s="138"/>
      <c r="F160" s="138"/>
      <c r="G160" s="138"/>
      <c r="H160" s="138"/>
      <c r="I160" s="138"/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</row>
    <row r="161" spans="1:19" s="18" customFormat="1" ht="13.5" hidden="1" thickBot="1" x14ac:dyDescent="0.3">
      <c r="A161" s="44"/>
      <c r="B161" s="77"/>
      <c r="C161" s="77"/>
      <c r="D161" s="176"/>
      <c r="E161" s="176"/>
      <c r="F161" s="176"/>
      <c r="G161" s="176"/>
      <c r="H161" s="176"/>
      <c r="I161" s="176"/>
      <c r="J161" s="125"/>
      <c r="K161" s="125"/>
      <c r="L161" s="125"/>
      <c r="M161" s="125"/>
      <c r="N161" s="125"/>
      <c r="O161" s="125"/>
      <c r="P161" s="125"/>
      <c r="Q161" s="125"/>
      <c r="R161" s="125"/>
      <c r="S161" s="125"/>
    </row>
    <row r="162" spans="1:19" s="18" customFormat="1" ht="13.5" hidden="1" thickBot="1" x14ac:dyDescent="0.3">
      <c r="A162" s="46"/>
      <c r="B162" s="78"/>
      <c r="C162" s="78"/>
      <c r="D162" s="177"/>
      <c r="E162" s="177"/>
      <c r="F162" s="177"/>
      <c r="G162" s="177"/>
      <c r="H162" s="177"/>
      <c r="I162" s="177"/>
      <c r="J162" s="125"/>
      <c r="K162" s="125"/>
      <c r="L162" s="125"/>
      <c r="M162" s="125"/>
      <c r="N162" s="125"/>
      <c r="O162" s="125"/>
      <c r="P162" s="125"/>
      <c r="Q162" s="125"/>
      <c r="R162" s="125"/>
      <c r="S162" s="125"/>
    </row>
    <row r="163" spans="1:19" s="14" customFormat="1" ht="21" hidden="1" customHeight="1" x14ac:dyDescent="0.25">
      <c r="A163" s="42" t="s">
        <v>35</v>
      </c>
      <c r="B163" s="66"/>
      <c r="C163" s="66"/>
      <c r="D163" s="136">
        <f t="shared" ref="D163:I163" si="48">SUM(D164:D166)</f>
        <v>0</v>
      </c>
      <c r="E163" s="136">
        <f t="shared" si="48"/>
        <v>0</v>
      </c>
      <c r="F163" s="136">
        <f t="shared" si="48"/>
        <v>0</v>
      </c>
      <c r="G163" s="136">
        <f t="shared" si="48"/>
        <v>0</v>
      </c>
      <c r="H163" s="136">
        <f t="shared" si="48"/>
        <v>0</v>
      </c>
      <c r="I163" s="136">
        <f t="shared" si="48"/>
        <v>0</v>
      </c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</row>
    <row r="164" spans="1:19" s="23" customFormat="1" ht="69" hidden="1" customHeight="1" x14ac:dyDescent="0.25">
      <c r="A164" s="31"/>
      <c r="B164" s="73">
        <v>904</v>
      </c>
      <c r="C164" s="73" t="s">
        <v>59</v>
      </c>
      <c r="D164" s="138"/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23" customFormat="1" ht="69" hidden="1" customHeight="1" x14ac:dyDescent="0.25">
      <c r="A165" s="31"/>
      <c r="B165" s="73"/>
      <c r="C165" s="73"/>
      <c r="D165" s="138"/>
      <c r="E165" s="138"/>
      <c r="F165" s="138"/>
      <c r="G165" s="138"/>
      <c r="H165" s="138"/>
      <c r="I165" s="138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</row>
    <row r="166" spans="1:19" s="18" customFormat="1" ht="14.25" hidden="1" customHeight="1" thickBot="1" x14ac:dyDescent="0.3">
      <c r="A166" s="44"/>
      <c r="B166" s="77"/>
      <c r="C166" s="77"/>
      <c r="D166" s="176"/>
      <c r="E166" s="176"/>
      <c r="F166" s="176"/>
      <c r="G166" s="176"/>
      <c r="H166" s="176"/>
      <c r="I166" s="176"/>
      <c r="J166" s="125"/>
      <c r="K166" s="125"/>
      <c r="L166" s="125"/>
      <c r="M166" s="125"/>
      <c r="N166" s="125"/>
      <c r="O166" s="125"/>
      <c r="P166" s="125"/>
      <c r="Q166" s="125"/>
      <c r="R166" s="125"/>
      <c r="S166" s="125"/>
    </row>
    <row r="167" spans="1:19" s="16" customFormat="1" ht="15.75" hidden="1" customHeight="1" thickBot="1" x14ac:dyDescent="0.3">
      <c r="A167" s="49"/>
      <c r="B167" s="65"/>
      <c r="C167" s="65"/>
      <c r="D167" s="179"/>
      <c r="E167" s="179"/>
      <c r="F167" s="179"/>
      <c r="G167" s="179"/>
      <c r="H167" s="179"/>
      <c r="I167" s="179"/>
      <c r="J167" s="83"/>
      <c r="K167" s="83"/>
      <c r="L167" s="83"/>
      <c r="M167" s="83"/>
      <c r="N167" s="83"/>
      <c r="O167" s="83"/>
      <c r="P167" s="83"/>
      <c r="Q167" s="83"/>
      <c r="R167" s="83"/>
      <c r="S167" s="83"/>
    </row>
    <row r="168" spans="1:19" s="14" customFormat="1" ht="21" customHeight="1" x14ac:dyDescent="0.25">
      <c r="A168" s="42" t="s">
        <v>36</v>
      </c>
      <c r="B168" s="66"/>
      <c r="C168" s="66"/>
      <c r="D168" s="136">
        <f t="shared" ref="D168:I168" si="49">SUM(D169:D170)</f>
        <v>3826.1</v>
      </c>
      <c r="E168" s="136">
        <f t="shared" si="49"/>
        <v>0</v>
      </c>
      <c r="F168" s="136">
        <f t="shared" si="49"/>
        <v>0</v>
      </c>
      <c r="G168" s="136">
        <f t="shared" si="49"/>
        <v>0</v>
      </c>
      <c r="H168" s="136">
        <f t="shared" si="49"/>
        <v>0</v>
      </c>
      <c r="I168" s="136">
        <f t="shared" si="49"/>
        <v>0</v>
      </c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</row>
    <row r="169" spans="1:19" s="18" customFormat="1" ht="77.25" customHeight="1" x14ac:dyDescent="0.25">
      <c r="A169" s="20" t="s">
        <v>127</v>
      </c>
      <c r="B169" s="70"/>
      <c r="C169" s="70"/>
      <c r="D169" s="157">
        <v>3826.1</v>
      </c>
      <c r="E169" s="157"/>
      <c r="F169" s="157"/>
      <c r="G169" s="157"/>
      <c r="H169" s="157"/>
      <c r="I169" s="157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</row>
    <row r="170" spans="1:19" s="16" customFormat="1" ht="13.5" thickBot="1" x14ac:dyDescent="0.3">
      <c r="A170" s="47"/>
      <c r="B170" s="68"/>
      <c r="C170" s="68"/>
      <c r="D170" s="139"/>
      <c r="E170" s="139"/>
      <c r="F170" s="139"/>
      <c r="G170" s="139"/>
      <c r="H170" s="139"/>
      <c r="I170" s="139"/>
      <c r="J170" s="83"/>
      <c r="K170" s="83"/>
      <c r="L170" s="83"/>
      <c r="M170" s="83"/>
      <c r="N170" s="83"/>
      <c r="O170" s="83"/>
      <c r="P170" s="83"/>
      <c r="Q170" s="83"/>
      <c r="R170" s="83"/>
      <c r="S170" s="83"/>
    </row>
    <row r="171" spans="1:19" s="16" customFormat="1" ht="13.5" thickBot="1" x14ac:dyDescent="0.3">
      <c r="A171" s="48"/>
      <c r="B171" s="65"/>
      <c r="C171" s="65"/>
      <c r="D171" s="140"/>
      <c r="E171" s="140"/>
      <c r="F171" s="140"/>
      <c r="G171" s="140"/>
      <c r="H171" s="140"/>
      <c r="I171" s="140"/>
      <c r="J171" s="83"/>
      <c r="K171" s="83"/>
      <c r="L171" s="83"/>
      <c r="M171" s="83"/>
      <c r="N171" s="83"/>
      <c r="O171" s="83"/>
      <c r="P171" s="83"/>
      <c r="Q171" s="83"/>
      <c r="R171" s="83"/>
      <c r="S171" s="83"/>
    </row>
    <row r="172" spans="1:19" s="14" customFormat="1" ht="21" customHeight="1" x14ac:dyDescent="0.25">
      <c r="A172" s="42" t="s">
        <v>37</v>
      </c>
      <c r="B172" s="66"/>
      <c r="C172" s="66"/>
      <c r="D172" s="136">
        <f t="shared" ref="D172:I172" si="50">SUM(D173:D176)</f>
        <v>1656.6</v>
      </c>
      <c r="E172" s="136">
        <f t="shared" si="50"/>
        <v>0</v>
      </c>
      <c r="F172" s="136">
        <f t="shared" si="50"/>
        <v>29951.4</v>
      </c>
      <c r="G172" s="136">
        <f t="shared" si="50"/>
        <v>0</v>
      </c>
      <c r="H172" s="136">
        <f t="shared" si="50"/>
        <v>0</v>
      </c>
      <c r="I172" s="136">
        <f t="shared" si="50"/>
        <v>0</v>
      </c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</row>
    <row r="173" spans="1:19" s="23" customFormat="1" ht="148.5" hidden="1" customHeight="1" x14ac:dyDescent="0.25">
      <c r="A173" s="43" t="s">
        <v>38</v>
      </c>
      <c r="B173" s="73"/>
      <c r="C173" s="73"/>
      <c r="D173" s="138">
        <v>0</v>
      </c>
      <c r="E173" s="138"/>
      <c r="F173" s="138"/>
      <c r="G173" s="138"/>
      <c r="H173" s="138"/>
      <c r="I173" s="138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</row>
    <row r="174" spans="1:19" s="23" customFormat="1" ht="78" customHeight="1" x14ac:dyDescent="0.25">
      <c r="A174" s="43" t="s">
        <v>66</v>
      </c>
      <c r="B174" s="73">
        <v>904</v>
      </c>
      <c r="C174" s="73" t="s">
        <v>59</v>
      </c>
      <c r="D174" s="138"/>
      <c r="E174" s="138"/>
      <c r="F174" s="138">
        <v>29951.4</v>
      </c>
      <c r="G174" s="138"/>
      <c r="H174" s="138"/>
      <c r="I174" s="138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</row>
    <row r="175" spans="1:19" s="23" customFormat="1" ht="78" customHeight="1" x14ac:dyDescent="0.25">
      <c r="A175" s="186" t="s">
        <v>135</v>
      </c>
      <c r="B175" s="187">
        <v>1656.6</v>
      </c>
      <c r="C175" s="186" t="s">
        <v>135</v>
      </c>
      <c r="D175" s="187">
        <v>1656.6</v>
      </c>
      <c r="E175" s="138"/>
      <c r="F175" s="138"/>
      <c r="G175" s="138"/>
      <c r="H175" s="138"/>
      <c r="I175" s="138"/>
      <c r="J175" s="126"/>
      <c r="K175" s="126"/>
      <c r="L175" s="126"/>
      <c r="M175" s="126"/>
      <c r="N175" s="126"/>
      <c r="O175" s="126"/>
      <c r="P175" s="126"/>
      <c r="Q175" s="126"/>
      <c r="R175" s="126"/>
      <c r="S175" s="126"/>
    </row>
    <row r="176" spans="1:19" s="18" customFormat="1" ht="13.5" thickBot="1" x14ac:dyDescent="0.3">
      <c r="A176" s="21"/>
      <c r="B176" s="68"/>
      <c r="C176" s="68"/>
      <c r="D176" s="176"/>
      <c r="E176" s="176"/>
      <c r="F176" s="176"/>
      <c r="G176" s="176"/>
      <c r="H176" s="176"/>
      <c r="I176" s="176"/>
      <c r="J176" s="125"/>
      <c r="K176" s="125"/>
      <c r="L176" s="125"/>
      <c r="M176" s="125"/>
      <c r="N176" s="125"/>
      <c r="O176" s="125"/>
      <c r="P176" s="125"/>
      <c r="Q176" s="125"/>
      <c r="R176" s="125"/>
      <c r="S176" s="125"/>
    </row>
    <row r="177" spans="1:19" s="16" customFormat="1" ht="15.75" customHeight="1" thickBot="1" x14ac:dyDescent="0.3">
      <c r="A177" s="49"/>
      <c r="B177" s="65"/>
      <c r="C177" s="65"/>
      <c r="D177" s="179"/>
      <c r="E177" s="179"/>
      <c r="F177" s="179"/>
      <c r="G177" s="179"/>
      <c r="H177" s="179"/>
      <c r="I177" s="179"/>
      <c r="J177" s="83"/>
      <c r="K177" s="83"/>
      <c r="L177" s="83"/>
      <c r="M177" s="83"/>
      <c r="N177" s="83"/>
      <c r="O177" s="83"/>
      <c r="P177" s="83"/>
      <c r="Q177" s="83"/>
      <c r="R177" s="83"/>
      <c r="S177" s="83"/>
    </row>
    <row r="178" spans="1:19" s="14" customFormat="1" ht="21" customHeight="1" thickBot="1" x14ac:dyDescent="0.3">
      <c r="A178" s="42" t="s">
        <v>39</v>
      </c>
      <c r="B178" s="66"/>
      <c r="C178" s="66"/>
      <c r="D178" s="136">
        <f t="shared" ref="D178:I178" si="51">SUM(D179:D182)</f>
        <v>152364.1</v>
      </c>
      <c r="E178" s="136">
        <f t="shared" si="51"/>
        <v>0</v>
      </c>
      <c r="F178" s="136">
        <f t="shared" si="51"/>
        <v>1499.2</v>
      </c>
      <c r="G178" s="136">
        <f t="shared" si="51"/>
        <v>0</v>
      </c>
      <c r="H178" s="136">
        <f t="shared" si="51"/>
        <v>1499.2</v>
      </c>
      <c r="I178" s="136">
        <f t="shared" si="51"/>
        <v>0</v>
      </c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</row>
    <row r="179" spans="1:19" s="23" customFormat="1" ht="120" hidden="1" customHeight="1" thickBot="1" x14ac:dyDescent="0.3">
      <c r="A179" s="60" t="s">
        <v>40</v>
      </c>
      <c r="B179" s="79"/>
      <c r="C179" s="79"/>
      <c r="D179" s="138">
        <v>0</v>
      </c>
      <c r="E179" s="138"/>
      <c r="F179" s="138"/>
      <c r="G179" s="138"/>
      <c r="H179" s="138"/>
      <c r="I179" s="138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</row>
    <row r="180" spans="1:19" s="23" customFormat="1" ht="69" customHeight="1" thickBot="1" x14ac:dyDescent="0.3">
      <c r="A180" s="51" t="s">
        <v>63</v>
      </c>
      <c r="B180" s="79"/>
      <c r="C180" s="79"/>
      <c r="D180" s="138">
        <v>1499.2</v>
      </c>
      <c r="E180" s="138"/>
      <c r="F180" s="138">
        <v>1499.2</v>
      </c>
      <c r="G180" s="138"/>
      <c r="H180" s="138">
        <v>1499.2</v>
      </c>
      <c r="I180" s="138"/>
      <c r="J180" s="126"/>
      <c r="K180" s="126"/>
      <c r="L180" s="126"/>
      <c r="M180" s="126"/>
      <c r="N180" s="126"/>
      <c r="O180" s="126"/>
      <c r="P180" s="126"/>
      <c r="Q180" s="126"/>
      <c r="R180" s="126"/>
      <c r="S180" s="126"/>
    </row>
    <row r="181" spans="1:19" s="23" customFormat="1" ht="93" customHeight="1" thickBot="1" x14ac:dyDescent="0.3">
      <c r="A181" s="60" t="s">
        <v>120</v>
      </c>
      <c r="B181" s="79"/>
      <c r="C181" s="79"/>
      <c r="D181" s="138">
        <v>150864.9</v>
      </c>
      <c r="E181" s="138"/>
      <c r="F181" s="138"/>
      <c r="G181" s="138"/>
      <c r="H181" s="183"/>
      <c r="I181" s="138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</row>
    <row r="182" spans="1:19" s="16" customFormat="1" ht="13.5" thickBot="1" x14ac:dyDescent="0.3">
      <c r="A182" s="52"/>
      <c r="B182" s="80"/>
      <c r="C182" s="80"/>
      <c r="D182" s="139"/>
      <c r="E182" s="139"/>
      <c r="F182" s="139"/>
      <c r="G182" s="139"/>
      <c r="H182" s="139"/>
      <c r="I182" s="139"/>
      <c r="J182" s="83"/>
      <c r="K182" s="83"/>
      <c r="L182" s="83"/>
      <c r="M182" s="83"/>
      <c r="N182" s="83"/>
      <c r="O182" s="83"/>
      <c r="P182" s="83"/>
      <c r="Q182" s="83"/>
      <c r="R182" s="83"/>
      <c r="S182" s="83"/>
    </row>
    <row r="183" spans="1:19" s="16" customFormat="1" ht="13.5" thickBot="1" x14ac:dyDescent="0.3">
      <c r="A183" s="23"/>
      <c r="B183" s="65"/>
      <c r="C183" s="65"/>
      <c r="D183" s="140"/>
      <c r="E183" s="140"/>
      <c r="F183" s="140"/>
      <c r="G183" s="140"/>
      <c r="H183" s="140"/>
      <c r="I183" s="140"/>
      <c r="J183" s="83"/>
      <c r="K183" s="83"/>
      <c r="L183" s="83"/>
      <c r="M183" s="83"/>
      <c r="N183" s="83"/>
      <c r="O183" s="83"/>
      <c r="P183" s="83"/>
      <c r="Q183" s="83"/>
      <c r="R183" s="83"/>
      <c r="S183" s="83"/>
    </row>
    <row r="184" spans="1:19" s="37" customFormat="1" ht="21" customHeight="1" thickBot="1" x14ac:dyDescent="0.3">
      <c r="A184" s="34" t="s">
        <v>41</v>
      </c>
      <c r="B184" s="75"/>
      <c r="C184" s="75"/>
      <c r="D184" s="165">
        <f>D107+D114+D124+D129+D144+D151+D159+D163+D168+D172+D178+D140+D120</f>
        <v>202409.60000000001</v>
      </c>
      <c r="E184" s="165">
        <f>E107+E114+E124+E129+E144+E151+E159+E163+E168+E172+E178+E120</f>
        <v>6699</v>
      </c>
      <c r="F184" s="165">
        <f>F107+F114+F124+F129+F144+F151+F159+F163+F168+F172+F178+F140+F120</f>
        <v>89238.2</v>
      </c>
      <c r="G184" s="165">
        <f>G107+G114+G124+G129+G144+G151+G159+G163+G168+G172+G178</f>
        <v>0</v>
      </c>
      <c r="H184" s="165">
        <f>H107+H114+H124+H129+H144+H151+H159+H163+H168+H172+H178+H140</f>
        <v>47914</v>
      </c>
      <c r="I184" s="165">
        <f>I107+I114+I124+I129+I144+I151+I159+I163+I168+I172+I178</f>
        <v>0</v>
      </c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</row>
    <row r="185" spans="1:19" s="16" customFormat="1" ht="13.5" thickBot="1" x14ac:dyDescent="0.3">
      <c r="A185" s="23"/>
      <c r="B185" s="65"/>
      <c r="C185" s="65"/>
      <c r="D185" s="140"/>
      <c r="E185" s="140"/>
      <c r="F185" s="140"/>
      <c r="G185" s="140"/>
      <c r="H185" s="140"/>
      <c r="I185" s="140"/>
      <c r="J185" s="83"/>
      <c r="K185" s="83"/>
      <c r="L185" s="83"/>
      <c r="M185" s="83"/>
      <c r="N185" s="83"/>
      <c r="O185" s="83"/>
      <c r="P185" s="83"/>
      <c r="Q185" s="83"/>
      <c r="R185" s="83"/>
      <c r="S185" s="83"/>
    </row>
    <row r="186" spans="1:19" s="55" customFormat="1" ht="21" customHeight="1" thickBot="1" x14ac:dyDescent="0.3">
      <c r="A186" s="53" t="s">
        <v>42</v>
      </c>
      <c r="B186" s="81"/>
      <c r="C186" s="81"/>
      <c r="D186" s="181">
        <f t="shared" ref="D186:I186" si="52">D105+D184</f>
        <v>714466.7</v>
      </c>
      <c r="E186" s="181">
        <f t="shared" si="52"/>
        <v>38481.100000000006</v>
      </c>
      <c r="F186" s="181">
        <f t="shared" si="52"/>
        <v>430057.7</v>
      </c>
      <c r="G186" s="181">
        <f t="shared" si="52"/>
        <v>12703.7</v>
      </c>
      <c r="H186" s="181">
        <f t="shared" si="52"/>
        <v>456407.7</v>
      </c>
      <c r="I186" s="181">
        <f t="shared" si="52"/>
        <v>22525.1</v>
      </c>
      <c r="J186" s="128"/>
      <c r="K186" s="128"/>
      <c r="L186" s="128"/>
      <c r="M186" s="128"/>
      <c r="N186" s="128"/>
      <c r="O186" s="128"/>
      <c r="P186" s="128"/>
      <c r="Q186" s="128"/>
      <c r="R186" s="128"/>
      <c r="S186" s="128"/>
    </row>
    <row r="187" spans="1:19" s="56" customFormat="1" x14ac:dyDescent="0.25">
      <c r="B187" s="64"/>
      <c r="C187" s="64"/>
      <c r="D187" s="140"/>
      <c r="E187" s="140"/>
      <c r="F187" s="140"/>
      <c r="G187" s="140"/>
      <c r="H187" s="140"/>
      <c r="I187" s="140"/>
      <c r="J187" s="83"/>
      <c r="K187" s="83"/>
      <c r="L187" s="83"/>
      <c r="M187" s="83"/>
      <c r="N187" s="83"/>
      <c r="O187" s="83"/>
      <c r="P187" s="83"/>
      <c r="Q187" s="83"/>
      <c r="R187" s="83"/>
      <c r="S187" s="83"/>
    </row>
    <row r="188" spans="1:19" s="56" customFormat="1" x14ac:dyDescent="0.25">
      <c r="B188" s="64"/>
      <c r="C188" s="64"/>
      <c r="D188" s="140"/>
      <c r="E188" s="140"/>
      <c r="F188" s="140"/>
      <c r="G188" s="140"/>
      <c r="H188" s="140"/>
      <c r="I188" s="140"/>
      <c r="J188" s="83"/>
      <c r="K188" s="83"/>
      <c r="L188" s="83"/>
      <c r="M188" s="83"/>
      <c r="N188" s="83"/>
      <c r="O188" s="83"/>
      <c r="P188" s="83"/>
      <c r="Q188" s="83"/>
      <c r="R188" s="83"/>
      <c r="S188" s="83"/>
    </row>
    <row r="189" spans="1:19" s="56" customFormat="1" x14ac:dyDescent="0.25">
      <c r="B189" s="64"/>
      <c r="C189" s="64"/>
      <c r="D189" s="140"/>
      <c r="E189" s="140"/>
      <c r="F189" s="140"/>
      <c r="G189" s="140"/>
      <c r="H189" s="140"/>
      <c r="I189" s="140"/>
      <c r="J189" s="83"/>
      <c r="K189" s="83"/>
      <c r="L189" s="83"/>
      <c r="M189" s="83"/>
      <c r="N189" s="83"/>
      <c r="O189" s="83"/>
      <c r="P189" s="83"/>
      <c r="Q189" s="83"/>
      <c r="R189" s="83"/>
      <c r="S189" s="83"/>
    </row>
    <row r="190" spans="1:19" s="59" customFormat="1" ht="33" customHeight="1" x14ac:dyDescent="0.25">
      <c r="A190" s="57" t="s">
        <v>43</v>
      </c>
      <c r="B190" s="82"/>
      <c r="C190" s="82"/>
      <c r="D190" s="182"/>
      <c r="E190" s="227" t="s">
        <v>44</v>
      </c>
      <c r="F190" s="227"/>
      <c r="G190" s="227"/>
      <c r="H190" s="227"/>
      <c r="I190" s="227"/>
      <c r="J190" s="129"/>
      <c r="K190" s="129"/>
      <c r="L190" s="129"/>
      <c r="M190" s="129"/>
      <c r="N190" s="129"/>
      <c r="O190" s="129"/>
      <c r="P190" s="129"/>
      <c r="Q190" s="129"/>
      <c r="R190" s="129"/>
      <c r="S190" s="129"/>
    </row>
    <row r="191" spans="1:19" s="83" customFormat="1" x14ac:dyDescent="0.25">
      <c r="D191" s="140"/>
      <c r="E191" s="140"/>
      <c r="F191" s="140"/>
      <c r="G191" s="140"/>
      <c r="H191" s="140"/>
      <c r="I191" s="140"/>
    </row>
    <row r="192" spans="1:19" s="83" customFormat="1" x14ac:dyDescent="0.25">
      <c r="D192" s="140"/>
      <c r="E192" s="140"/>
      <c r="F192" s="140"/>
      <c r="G192" s="140"/>
      <c r="H192" s="140"/>
      <c r="I192" s="140"/>
    </row>
    <row r="193" spans="4:9" s="83" customFormat="1" x14ac:dyDescent="0.25">
      <c r="D193" s="140"/>
      <c r="E193" s="140"/>
      <c r="F193" s="140"/>
      <c r="G193" s="140"/>
      <c r="H193" s="140"/>
      <c r="I193" s="140"/>
    </row>
    <row r="194" spans="4:9" s="83" customFormat="1" hidden="1" x14ac:dyDescent="0.25">
      <c r="D194" s="140"/>
      <c r="E194" s="140"/>
      <c r="F194" s="140"/>
      <c r="G194" s="140"/>
      <c r="H194" s="140"/>
      <c r="I194" s="140"/>
    </row>
    <row r="195" spans="4:9" s="83" customFormat="1" hidden="1" x14ac:dyDescent="0.25">
      <c r="D195" s="140">
        <f>714466.7</f>
        <v>714466.7</v>
      </c>
      <c r="E195" s="140"/>
      <c r="F195" s="140">
        <v>430057.7</v>
      </c>
      <c r="G195" s="140"/>
      <c r="H195" s="140">
        <v>456407.7</v>
      </c>
      <c r="I195" s="140"/>
    </row>
    <row r="196" spans="4:9" s="83" customFormat="1" hidden="1" x14ac:dyDescent="0.25">
      <c r="D196" s="140">
        <f>D195-D186</f>
        <v>0</v>
      </c>
      <c r="E196" s="140"/>
      <c r="F196" s="140">
        <f>F195-F186</f>
        <v>0</v>
      </c>
      <c r="G196" s="140"/>
      <c r="H196" s="140">
        <f>H195-H186</f>
        <v>0</v>
      </c>
      <c r="I196" s="140"/>
    </row>
    <row r="197" spans="4:9" s="83" customFormat="1" hidden="1" x14ac:dyDescent="0.25">
      <c r="D197" s="140"/>
      <c r="E197" s="140"/>
      <c r="F197" s="140"/>
      <c r="G197" s="140"/>
      <c r="H197" s="140"/>
      <c r="I197" s="140"/>
    </row>
    <row r="198" spans="4:9" s="83" customFormat="1" hidden="1" x14ac:dyDescent="0.25">
      <c r="D198" s="140"/>
      <c r="E198" s="140"/>
      <c r="F198" s="140"/>
      <c r="G198" s="140"/>
      <c r="H198" s="140"/>
      <c r="I198" s="140"/>
    </row>
    <row r="199" spans="4:9" s="83" customFormat="1" hidden="1" x14ac:dyDescent="0.25">
      <c r="D199" s="140"/>
      <c r="E199" s="140"/>
      <c r="F199" s="140"/>
      <c r="G199" s="140"/>
      <c r="H199" s="140"/>
      <c r="I199" s="140"/>
    </row>
    <row r="200" spans="4:9" s="83" customFormat="1" hidden="1" x14ac:dyDescent="0.25">
      <c r="D200" s="140"/>
      <c r="E200" s="140"/>
      <c r="F200" s="140"/>
      <c r="G200" s="140"/>
      <c r="H200" s="140"/>
      <c r="I200" s="140"/>
    </row>
    <row r="201" spans="4:9" s="83" customFormat="1" x14ac:dyDescent="0.25">
      <c r="D201" s="140"/>
      <c r="E201" s="140"/>
      <c r="F201" s="140"/>
      <c r="G201" s="140"/>
      <c r="H201" s="140"/>
      <c r="I201" s="140"/>
    </row>
    <row r="202" spans="4:9" s="83" customFormat="1" x14ac:dyDescent="0.25">
      <c r="D202" s="140"/>
      <c r="E202" s="140"/>
      <c r="F202" s="140"/>
      <c r="G202" s="140"/>
      <c r="H202" s="140"/>
      <c r="I202" s="140"/>
    </row>
    <row r="203" spans="4:9" s="83" customFormat="1" x14ac:dyDescent="0.25">
      <c r="D203" s="140"/>
      <c r="E203" s="140"/>
      <c r="F203" s="140"/>
      <c r="G203" s="140"/>
      <c r="H203" s="140"/>
      <c r="I203" s="140"/>
    </row>
    <row r="204" spans="4:9" s="83" customFormat="1" x14ac:dyDescent="0.25">
      <c r="D204" s="140"/>
      <c r="E204" s="140"/>
      <c r="F204" s="140"/>
      <c r="G204" s="140"/>
      <c r="H204" s="140"/>
      <c r="I204" s="140"/>
    </row>
    <row r="205" spans="4:9" s="83" customFormat="1" x14ac:dyDescent="0.25">
      <c r="D205" s="140"/>
      <c r="E205" s="140"/>
      <c r="F205" s="140"/>
      <c r="G205" s="140"/>
      <c r="H205" s="140"/>
      <c r="I205" s="140"/>
    </row>
    <row r="206" spans="4:9" s="83" customFormat="1" x14ac:dyDescent="0.25">
      <c r="D206" s="140"/>
      <c r="E206" s="140"/>
      <c r="F206" s="140"/>
      <c r="G206" s="140"/>
      <c r="H206" s="140"/>
      <c r="I206" s="140"/>
    </row>
    <row r="207" spans="4:9" s="83" customFormat="1" x14ac:dyDescent="0.25">
      <c r="D207" s="140"/>
      <c r="E207" s="140"/>
      <c r="F207" s="140"/>
      <c r="G207" s="140"/>
      <c r="H207" s="140"/>
      <c r="I207" s="140"/>
    </row>
    <row r="208" spans="4:9" s="83" customFormat="1" x14ac:dyDescent="0.25">
      <c r="D208" s="140"/>
      <c r="E208" s="140"/>
      <c r="F208" s="140"/>
      <c r="G208" s="140"/>
      <c r="H208" s="140"/>
      <c r="I208" s="140"/>
    </row>
    <row r="209" spans="4:9" s="83" customFormat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</sheetData>
  <mergeCells count="12">
    <mergeCell ref="E190:I190"/>
    <mergeCell ref="A7:I7"/>
    <mergeCell ref="A9:I9"/>
    <mergeCell ref="A10:A11"/>
    <mergeCell ref="D10:E10"/>
    <mergeCell ref="F10:G10"/>
    <mergeCell ref="H10:I10"/>
    <mergeCell ref="A1:I1"/>
    <mergeCell ref="A2:I2"/>
    <mergeCell ref="A3:I3"/>
    <mergeCell ref="A4:I4"/>
    <mergeCell ref="A5:I5"/>
  </mergeCells>
  <conditionalFormatting sqref="P68:P78 N72:N78 L15:L32 P15:P32 N15:N32 L82:L100 N82:N100 P82:P100 N35:N70 P35:P57 L35:L78">
    <cfRule type="cellIs" dxfId="23" priority="8" stopIfTrue="1" operator="lessThan">
      <formula>0</formula>
    </cfRule>
  </conditionalFormatting>
  <conditionalFormatting sqref="P58:P67">
    <cfRule type="cellIs" dxfId="22" priority="7" stopIfTrue="1" operator="lessThan">
      <formula>0</formula>
    </cfRule>
  </conditionalFormatting>
  <conditionalFormatting sqref="N71">
    <cfRule type="cellIs" dxfId="21" priority="6" stopIfTrue="1" operator="lessThan">
      <formula>0</formula>
    </cfRule>
  </conditionalFormatting>
  <conditionalFormatting sqref="D196 F196 H196">
    <cfRule type="cellIs" dxfId="20" priority="5" stopIfTrue="1" operator="equal">
      <formula>0</formula>
    </cfRule>
  </conditionalFormatting>
  <conditionalFormatting sqref="P79 N79 L79">
    <cfRule type="cellIs" dxfId="19" priority="4" stopIfTrue="1" operator="lessThan">
      <formula>0</formula>
    </cfRule>
  </conditionalFormatting>
  <conditionalFormatting sqref="P80 N80 L80">
    <cfRule type="cellIs" dxfId="18" priority="3" stopIfTrue="1" operator="lessThan">
      <formula>0</formula>
    </cfRule>
  </conditionalFormatting>
  <conditionalFormatting sqref="L33 P33 N33">
    <cfRule type="cellIs" dxfId="17" priority="2" stopIfTrue="1" operator="lessThan">
      <formula>0</formula>
    </cfRule>
  </conditionalFormatting>
  <conditionalFormatting sqref="L34 P34 N34">
    <cfRule type="cellIs" dxfId="16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1"/>
  <sheetViews>
    <sheetView view="pageBreakPreview" zoomScale="75" zoomScaleNormal="85" zoomScaleSheetLayoutView="75" workbookViewId="0">
      <selection activeCell="A352" sqref="A1:XFD1048576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220" t="s">
        <v>146</v>
      </c>
      <c r="B1" s="220"/>
      <c r="C1" s="220"/>
      <c r="D1" s="220"/>
      <c r="E1" s="220"/>
      <c r="F1" s="220"/>
      <c r="G1" s="220"/>
      <c r="H1" s="220"/>
      <c r="I1" s="220"/>
    </row>
    <row r="2" spans="1:19" ht="12.75" customHeight="1" x14ac:dyDescent="0.25">
      <c r="A2" s="220" t="s">
        <v>0</v>
      </c>
      <c r="B2" s="220"/>
      <c r="C2" s="220"/>
      <c r="D2" s="220"/>
      <c r="E2" s="220"/>
      <c r="F2" s="220"/>
      <c r="G2" s="220"/>
      <c r="H2" s="220"/>
      <c r="I2" s="220"/>
    </row>
    <row r="3" spans="1:19" ht="12.75" customHeight="1" x14ac:dyDescent="0.25">
      <c r="A3" s="220" t="s">
        <v>73</v>
      </c>
      <c r="B3" s="220"/>
      <c r="C3" s="220"/>
      <c r="D3" s="220"/>
      <c r="E3" s="220"/>
      <c r="F3" s="220"/>
      <c r="G3" s="220"/>
      <c r="H3" s="220"/>
      <c r="I3" s="220"/>
    </row>
    <row r="4" spans="1:19" ht="12.75" customHeight="1" x14ac:dyDescent="0.25">
      <c r="A4" s="220" t="s">
        <v>74</v>
      </c>
      <c r="B4" s="220"/>
      <c r="C4" s="220"/>
      <c r="D4" s="220"/>
      <c r="E4" s="220"/>
      <c r="F4" s="220"/>
      <c r="G4" s="220"/>
      <c r="H4" s="220"/>
      <c r="I4" s="220"/>
    </row>
    <row r="5" spans="1:19" ht="12.75" customHeight="1" x14ac:dyDescent="0.25">
      <c r="A5" s="220" t="s">
        <v>156</v>
      </c>
      <c r="B5" s="220"/>
      <c r="C5" s="220"/>
      <c r="D5" s="220"/>
      <c r="E5" s="220"/>
      <c r="F5" s="220"/>
      <c r="G5" s="220"/>
      <c r="H5" s="220"/>
      <c r="I5" s="220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194" customFormat="1" ht="42.75" customHeight="1" x14ac:dyDescent="0.25">
      <c r="A7" s="221" t="s">
        <v>76</v>
      </c>
      <c r="B7" s="221"/>
      <c r="C7" s="221"/>
      <c r="D7" s="221"/>
      <c r="E7" s="221"/>
      <c r="F7" s="221"/>
      <c r="G7" s="221"/>
      <c r="H7" s="221"/>
      <c r="I7" s="221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194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194" customFormat="1" ht="15.75" customHeight="1" thickBot="1" x14ac:dyDescent="0.3">
      <c r="A9" s="222" t="s">
        <v>1</v>
      </c>
      <c r="B9" s="222"/>
      <c r="C9" s="222"/>
      <c r="D9" s="222"/>
      <c r="E9" s="222"/>
      <c r="F9" s="222"/>
      <c r="G9" s="222"/>
      <c r="H9" s="222"/>
      <c r="I9" s="222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194" customFormat="1" ht="13.5" customHeight="1" thickBot="1" x14ac:dyDescent="0.3">
      <c r="A10" s="223" t="s">
        <v>2</v>
      </c>
      <c r="B10" s="61"/>
      <c r="C10" s="61"/>
      <c r="D10" s="228" t="s">
        <v>3</v>
      </c>
      <c r="E10" s="229"/>
      <c r="F10" s="228" t="s">
        <v>46</v>
      </c>
      <c r="G10" s="229"/>
      <c r="H10" s="228" t="s">
        <v>75</v>
      </c>
      <c r="I10" s="229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194" customFormat="1" ht="56.25" customHeight="1" thickBot="1" x14ac:dyDescent="0.3">
      <c r="A11" s="224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194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194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SUM(D15:D16)</f>
        <v>1608.2999999999997</v>
      </c>
      <c r="E14" s="136">
        <f t="shared" si="0"/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54">
        <f>2991.7-134.4-1249</f>
        <v>1608.2999999999997</v>
      </c>
      <c r="E15" s="154">
        <v>231.7</v>
      </c>
      <c r="F15" s="154">
        <f>2922.4-32.4</f>
        <v>2890</v>
      </c>
      <c r="G15" s="154">
        <v>234.4</v>
      </c>
      <c r="H15" s="154">
        <f>2093.3+814.5</f>
        <v>2907.8</v>
      </c>
      <c r="I15" s="154">
        <v>235.8</v>
      </c>
      <c r="J15" s="83"/>
      <c r="K15" s="83">
        <f>D15*7.5/92.5</f>
        <v>130.40270270270267</v>
      </c>
      <c r="L15" s="83">
        <f>E15-K15</f>
        <v>101.29729729729732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13.5" thickBot="1" x14ac:dyDescent="0.3">
      <c r="A16" s="21"/>
      <c r="B16" s="68"/>
      <c r="C16" s="68"/>
      <c r="D16" s="139"/>
      <c r="E16" s="139"/>
      <c r="F16" s="139"/>
      <c r="G16" s="139"/>
      <c r="H16" s="139"/>
      <c r="I16" s="139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3"/>
      <c r="B17" s="65"/>
      <c r="C17" s="65"/>
      <c r="D17" s="140"/>
      <c r="E17" s="140"/>
      <c r="F17" s="140"/>
      <c r="G17" s="140"/>
      <c r="H17" s="140"/>
      <c r="I17" s="140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4" customFormat="1" ht="33.75" customHeight="1" x14ac:dyDescent="0.25">
      <c r="A18" s="12" t="s">
        <v>9</v>
      </c>
      <c r="B18" s="66"/>
      <c r="C18" s="195"/>
      <c r="D18" s="141">
        <f t="shared" ref="D18:I18" si="1">SUM(D19:D40)</f>
        <v>273762</v>
      </c>
      <c r="E18" s="141">
        <f t="shared" si="1"/>
        <v>19824.600000000002</v>
      </c>
      <c r="F18" s="141">
        <f t="shared" si="1"/>
        <v>116255.60000000002</v>
      </c>
      <c r="G18" s="141">
        <f t="shared" si="1"/>
        <v>11943.8</v>
      </c>
      <c r="H18" s="141">
        <f t="shared" si="1"/>
        <v>289874.30000000005</v>
      </c>
      <c r="I18" s="141">
        <f t="shared" si="1"/>
        <v>20249.7</v>
      </c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spans="1:19" s="25" customFormat="1" ht="64.5" customHeight="1" x14ac:dyDescent="0.25">
      <c r="A19" s="86" t="s">
        <v>10</v>
      </c>
      <c r="B19" s="69">
        <v>907</v>
      </c>
      <c r="C19" s="196" t="s">
        <v>49</v>
      </c>
      <c r="D19" s="154">
        <f>3098.6-17.5</f>
        <v>3081.1</v>
      </c>
      <c r="E19" s="154">
        <v>249.9</v>
      </c>
      <c r="F19" s="154">
        <f>3222.5-18.2</f>
        <v>3204.3</v>
      </c>
      <c r="G19" s="154">
        <f>259.8+0.1</f>
        <v>259.90000000000003</v>
      </c>
      <c r="H19" s="154">
        <f>3351.4-18.9</f>
        <v>3332.5</v>
      </c>
      <c r="I19" s="154">
        <f>270.2+0.1</f>
        <v>270.3</v>
      </c>
      <c r="J19" s="83"/>
      <c r="K19" s="83">
        <f t="shared" ref="K19:K30" si="2">D19*7.5/92.5</f>
        <v>249.81891891891891</v>
      </c>
      <c r="L19" s="83">
        <f t="shared" ref="L19:L30" si="3">E19-K19</f>
        <v>8.1081081081094908E-2</v>
      </c>
      <c r="M19" s="83">
        <f t="shared" ref="M19:M30" si="4">F19*7.5/92.5</f>
        <v>259.80810810810812</v>
      </c>
      <c r="N19" s="83">
        <f t="shared" ref="N19:N30" si="5">G19-M19</f>
        <v>9.1891891891918931E-2</v>
      </c>
      <c r="O19" s="83">
        <f t="shared" ref="O19:O30" si="6">H19*7.5/92.5</f>
        <v>270.20270270270271</v>
      </c>
      <c r="P19" s="83">
        <f t="shared" ref="P19:P30" si="7">I19-O19</f>
        <v>9.7297297297302521E-2</v>
      </c>
      <c r="Q19" s="83"/>
      <c r="R19" s="83"/>
      <c r="S19" s="83"/>
    </row>
    <row r="20" spans="1:19" s="18" customFormat="1" ht="66" customHeight="1" x14ac:dyDescent="0.25">
      <c r="A20" s="119" t="s">
        <v>11</v>
      </c>
      <c r="B20" s="100">
        <v>907</v>
      </c>
      <c r="C20" s="197" t="s">
        <v>50</v>
      </c>
      <c r="D20" s="143">
        <f>31477.3+2821.6</f>
        <v>34298.9</v>
      </c>
      <c r="E20" s="143"/>
      <c r="F20" s="143">
        <f>32355.9+1943</f>
        <v>34298.9</v>
      </c>
      <c r="G20" s="143"/>
      <c r="H20" s="143">
        <f>5500.5+29603.9</f>
        <v>35104.400000000001</v>
      </c>
      <c r="I20" s="143"/>
      <c r="J20" s="125"/>
      <c r="K20" s="83">
        <f t="shared" si="2"/>
        <v>2780.991891891892</v>
      </c>
      <c r="L20" s="83">
        <f t="shared" si="3"/>
        <v>-2780.991891891892</v>
      </c>
      <c r="M20" s="83">
        <f t="shared" si="4"/>
        <v>2780.991891891892</v>
      </c>
      <c r="N20" s="83">
        <f t="shared" si="5"/>
        <v>-2780.991891891892</v>
      </c>
      <c r="O20" s="83">
        <f t="shared" si="6"/>
        <v>2846.3027027027028</v>
      </c>
      <c r="P20" s="83">
        <f t="shared" si="7"/>
        <v>-2846.3027027027028</v>
      </c>
      <c r="Q20" s="125"/>
      <c r="R20" s="125"/>
      <c r="S20" s="125"/>
    </row>
    <row r="21" spans="1:19" s="18" customFormat="1" ht="129.75" customHeight="1" x14ac:dyDescent="0.25">
      <c r="A21" s="120" t="s">
        <v>68</v>
      </c>
      <c r="B21" s="97"/>
      <c r="C21" s="97"/>
      <c r="D21" s="143">
        <v>1352.8</v>
      </c>
      <c r="E21" s="143">
        <v>109.7</v>
      </c>
      <c r="F21" s="143">
        <v>1352.8</v>
      </c>
      <c r="G21" s="143">
        <v>109.7</v>
      </c>
      <c r="H21" s="143">
        <v>1352.8</v>
      </c>
      <c r="I21" s="143">
        <v>109.7</v>
      </c>
      <c r="J21" s="125"/>
      <c r="K21" s="83">
        <f t="shared" si="2"/>
        <v>109.68648648648649</v>
      </c>
      <c r="L21" s="83">
        <f t="shared" si="3"/>
        <v>1.3513513513515818E-2</v>
      </c>
      <c r="M21" s="83">
        <f t="shared" si="4"/>
        <v>109.68648648648649</v>
      </c>
      <c r="N21" s="83">
        <f t="shared" si="5"/>
        <v>1.3513513513515818E-2</v>
      </c>
      <c r="O21" s="83">
        <f t="shared" si="6"/>
        <v>109.68648648648649</v>
      </c>
      <c r="P21" s="83">
        <f t="shared" si="7"/>
        <v>1.3513513513515818E-2</v>
      </c>
      <c r="Q21" s="125"/>
      <c r="R21" s="125"/>
      <c r="S21" s="125"/>
    </row>
    <row r="22" spans="1:19" s="18" customFormat="1" ht="129.75" customHeight="1" x14ac:dyDescent="0.25">
      <c r="A22" s="120" t="s">
        <v>113</v>
      </c>
      <c r="D22" s="143">
        <v>5099.3999999999996</v>
      </c>
      <c r="E22" s="143"/>
      <c r="F22" s="143">
        <v>5026.8999999999996</v>
      </c>
      <c r="G22" s="143"/>
      <c r="H22" s="143">
        <v>5026.8999999999996</v>
      </c>
      <c r="I22" s="143"/>
      <c r="J22" s="125"/>
      <c r="K22" s="83">
        <f t="shared" si="2"/>
        <v>413.46486486486486</v>
      </c>
      <c r="L22" s="83">
        <f t="shared" si="3"/>
        <v>-413.46486486486486</v>
      </c>
      <c r="M22" s="83">
        <f t="shared" si="4"/>
        <v>407.58648648648648</v>
      </c>
      <c r="N22" s="83">
        <f t="shared" si="5"/>
        <v>-407.58648648648648</v>
      </c>
      <c r="O22" s="83">
        <f t="shared" si="6"/>
        <v>407.58648648648648</v>
      </c>
      <c r="P22" s="83">
        <f t="shared" si="7"/>
        <v>-407.58648648648648</v>
      </c>
      <c r="Q22" s="125"/>
      <c r="R22" s="125"/>
      <c r="S22" s="125"/>
    </row>
    <row r="23" spans="1:19" s="18" customFormat="1" ht="129.75" customHeight="1" x14ac:dyDescent="0.25">
      <c r="A23" s="121" t="s">
        <v>114</v>
      </c>
      <c r="B23" s="122"/>
      <c r="C23" s="122"/>
      <c r="D23" s="149">
        <v>79625.2</v>
      </c>
      <c r="E23" s="149">
        <f>6456+0.1</f>
        <v>6456.1</v>
      </c>
      <c r="F23" s="149"/>
      <c r="G23" s="149"/>
      <c r="H23" s="149"/>
      <c r="I23" s="149"/>
      <c r="J23" s="125"/>
      <c r="K23" s="83">
        <f t="shared" si="2"/>
        <v>6456.0972972972977</v>
      </c>
      <c r="L23" s="83">
        <f t="shared" si="3"/>
        <v>2.7027027026633732E-3</v>
      </c>
      <c r="M23" s="83">
        <f t="shared" si="4"/>
        <v>0</v>
      </c>
      <c r="N23" s="83">
        <f t="shared" si="5"/>
        <v>0</v>
      </c>
      <c r="O23" s="83">
        <f t="shared" si="6"/>
        <v>0</v>
      </c>
      <c r="P23" s="83">
        <f t="shared" si="7"/>
        <v>0</v>
      </c>
      <c r="Q23" s="125"/>
      <c r="R23" s="125"/>
      <c r="S23" s="125"/>
    </row>
    <row r="24" spans="1:19" s="18" customFormat="1" ht="129.75" customHeight="1" x14ac:dyDescent="0.25">
      <c r="A24" s="121" t="s">
        <v>125</v>
      </c>
      <c r="B24" s="122"/>
      <c r="C24" s="122"/>
      <c r="D24" s="149">
        <v>59816.6</v>
      </c>
      <c r="E24" s="149">
        <f>6979.5-2129.5</f>
        <v>4850</v>
      </c>
      <c r="F24" s="149"/>
      <c r="G24" s="149"/>
      <c r="H24" s="149"/>
      <c r="I24" s="149"/>
      <c r="J24" s="125"/>
      <c r="K24" s="83">
        <f t="shared" si="2"/>
        <v>4849.9945945945947</v>
      </c>
      <c r="L24" s="83">
        <f t="shared" si="3"/>
        <v>5.4054054053267464E-3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0" t="s">
        <v>115</v>
      </c>
      <c r="B25" s="97"/>
      <c r="C25" s="97"/>
      <c r="D25" s="143">
        <v>13653</v>
      </c>
      <c r="E25" s="143">
        <v>1107</v>
      </c>
      <c r="F25" s="143"/>
      <c r="G25" s="143"/>
      <c r="H25" s="143"/>
      <c r="I25" s="143"/>
      <c r="J25" s="125"/>
      <c r="K25" s="83">
        <f t="shared" si="2"/>
        <v>1107</v>
      </c>
      <c r="L25" s="83">
        <f t="shared" si="3"/>
        <v>0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84" customHeight="1" x14ac:dyDescent="0.25">
      <c r="A26" s="191" t="s">
        <v>134</v>
      </c>
      <c r="B26" s="187">
        <v>10692.7</v>
      </c>
      <c r="C26" s="198" t="s">
        <v>134</v>
      </c>
      <c r="D26" s="187">
        <v>10692.7</v>
      </c>
      <c r="E26" s="143">
        <v>867</v>
      </c>
      <c r="F26" s="143"/>
      <c r="G26" s="143"/>
      <c r="H26" s="143"/>
      <c r="I26" s="143"/>
      <c r="J26" s="125"/>
      <c r="K26" s="83"/>
      <c r="L26" s="83"/>
      <c r="M26" s="83"/>
      <c r="N26" s="83"/>
      <c r="O26" s="83"/>
      <c r="P26" s="83"/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3">
        <v>64287.5</v>
      </c>
      <c r="E27" s="143">
        <v>5212.5</v>
      </c>
      <c r="F27" s="143"/>
      <c r="G27" s="143"/>
      <c r="H27" s="143"/>
      <c r="I27" s="143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3"/>
      <c r="E28" s="143"/>
      <c r="F28" s="143">
        <v>67620.5</v>
      </c>
      <c r="G28" s="143">
        <v>5482.8</v>
      </c>
      <c r="H28" s="143">
        <v>235057.7</v>
      </c>
      <c r="I28" s="143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3"/>
      <c r="E29" s="143"/>
      <c r="F29" s="143">
        <v>1042.5999999999999</v>
      </c>
      <c r="G29" s="143">
        <f>84.6</f>
        <v>84.6</v>
      </c>
      <c r="H29" s="143"/>
      <c r="I29" s="143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50.25" customHeight="1" x14ac:dyDescent="0.25">
      <c r="A30" s="120" t="s">
        <v>123</v>
      </c>
      <c r="B30" s="97"/>
      <c r="C30" s="97"/>
      <c r="D30" s="143"/>
      <c r="E30" s="143"/>
      <c r="F30" s="143"/>
      <c r="G30" s="143"/>
      <c r="H30" s="143">
        <v>10000</v>
      </c>
      <c r="I30" s="143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8" customFormat="1" ht="62.25" customHeight="1" x14ac:dyDescent="0.25">
      <c r="A31" s="93" t="s">
        <v>137</v>
      </c>
      <c r="B31" s="95">
        <v>1854.8</v>
      </c>
      <c r="C31" s="199" t="s">
        <v>137</v>
      </c>
      <c r="D31" s="15">
        <v>1854.8</v>
      </c>
      <c r="E31" s="143">
        <v>150.4</v>
      </c>
      <c r="F31" s="143">
        <v>3709.6</v>
      </c>
      <c r="G31" s="143">
        <v>300.8</v>
      </c>
      <c r="H31" s="143"/>
      <c r="I31" s="143"/>
      <c r="J31" s="125"/>
      <c r="K31" s="83"/>
      <c r="L31" s="83"/>
      <c r="M31" s="83"/>
      <c r="N31" s="83"/>
      <c r="O31" s="83"/>
      <c r="P31" s="83"/>
      <c r="Q31" s="125"/>
      <c r="R31" s="125"/>
      <c r="S31" s="125"/>
    </row>
    <row r="32" spans="1:19" s="18" customFormat="1" ht="85.5" customHeight="1" x14ac:dyDescent="0.25">
      <c r="A32" s="93" t="s">
        <v>140</v>
      </c>
      <c r="B32" s="95"/>
      <c r="C32" s="199"/>
      <c r="D32" s="15"/>
      <c r="E32" s="143">
        <v>822</v>
      </c>
      <c r="F32" s="143"/>
      <c r="G32" s="143">
        <v>962.3</v>
      </c>
      <c r="H32" s="143"/>
      <c r="I32" s="143"/>
      <c r="J32" s="125"/>
      <c r="K32" s="83"/>
      <c r="L32" s="83"/>
      <c r="M32" s="83"/>
      <c r="N32" s="83"/>
      <c r="O32" s="83"/>
      <c r="P32" s="83"/>
      <c r="Q32" s="125"/>
      <c r="R32" s="125"/>
      <c r="S32" s="125"/>
    </row>
    <row r="33" spans="1:19" s="18" customFormat="1" ht="85.5" hidden="1" customHeight="1" x14ac:dyDescent="0.25">
      <c r="A33" s="93" t="s">
        <v>140</v>
      </c>
      <c r="B33" s="97"/>
      <c r="C33" s="97"/>
      <c r="D33" s="143"/>
      <c r="E33" s="143">
        <f>123.1-123.1</f>
        <v>0</v>
      </c>
      <c r="F33" s="143"/>
      <c r="G33" s="143"/>
      <c r="H33" s="143"/>
      <c r="I33" s="143"/>
      <c r="J33" s="125"/>
      <c r="K33" s="83">
        <f t="shared" ref="K33:K34" si="8">D33*7.5/92.5</f>
        <v>0</v>
      </c>
      <c r="L33" s="83">
        <f t="shared" ref="L33:L34" si="9">E33-K33</f>
        <v>0</v>
      </c>
      <c r="M33" s="83">
        <f t="shared" ref="M33:M34" si="10">F33*7.5/92.5</f>
        <v>0</v>
      </c>
      <c r="N33" s="83">
        <f t="shared" ref="N33:N34" si="11">G33-M33</f>
        <v>0</v>
      </c>
      <c r="O33" s="83">
        <f t="shared" ref="O33:O34" si="12">H33*7.5/92.5</f>
        <v>0</v>
      </c>
      <c r="P33" s="83">
        <f t="shared" ref="P33:P34" si="13">I33-O33</f>
        <v>0</v>
      </c>
      <c r="Q33" s="125"/>
      <c r="R33" s="125"/>
      <c r="S33" s="125"/>
    </row>
    <row r="34" spans="1:19" s="18" customFormat="1" ht="85.5" hidden="1" customHeight="1" x14ac:dyDescent="0.25">
      <c r="A34" s="93" t="s">
        <v>140</v>
      </c>
      <c r="B34" s="97"/>
      <c r="C34" s="97"/>
      <c r="D34" s="143"/>
      <c r="E34" s="143">
        <f>102-102</f>
        <v>0</v>
      </c>
      <c r="F34" s="143"/>
      <c r="G34" s="143"/>
      <c r="H34" s="143"/>
      <c r="I34" s="143"/>
      <c r="J34" s="125"/>
      <c r="K34" s="83">
        <f t="shared" si="8"/>
        <v>0</v>
      </c>
      <c r="L34" s="83">
        <f t="shared" si="9"/>
        <v>0</v>
      </c>
      <c r="M34" s="83">
        <f t="shared" si="10"/>
        <v>0</v>
      </c>
      <c r="N34" s="83">
        <f t="shared" si="11"/>
        <v>0</v>
      </c>
      <c r="O34" s="83">
        <f t="shared" si="12"/>
        <v>0</v>
      </c>
      <c r="P34" s="83">
        <f t="shared" si="13"/>
        <v>0</v>
      </c>
      <c r="Q34" s="125"/>
      <c r="R34" s="125"/>
      <c r="S34" s="125"/>
    </row>
    <row r="35" spans="1:19" s="18" customFormat="1" ht="85.5" customHeight="1" x14ac:dyDescent="0.25">
      <c r="A35" s="200" t="s">
        <v>148</v>
      </c>
      <c r="D35" s="201"/>
      <c r="E35" s="201"/>
      <c r="F35" s="201"/>
      <c r="G35" s="201">
        <v>3123.9</v>
      </c>
      <c r="H35" s="201"/>
      <c r="I35" s="201"/>
      <c r="J35" s="125"/>
      <c r="K35" s="83"/>
      <c r="L35" s="83"/>
      <c r="M35" s="83"/>
      <c r="N35" s="83"/>
      <c r="O35" s="83"/>
      <c r="P35" s="83"/>
      <c r="Q35" s="125"/>
      <c r="R35" s="125"/>
      <c r="S35" s="125"/>
    </row>
    <row r="36" spans="1:19" s="18" customFormat="1" ht="85.5" customHeight="1" x14ac:dyDescent="0.25">
      <c r="A36" s="93" t="s">
        <v>152</v>
      </c>
      <c r="B36" s="202"/>
      <c r="C36" s="203"/>
      <c r="D36" s="143"/>
      <c r="E36" s="143"/>
      <c r="F36" s="143"/>
      <c r="G36" s="143">
        <v>951.9</v>
      </c>
      <c r="H36" s="143"/>
      <c r="I36" s="143"/>
      <c r="J36" s="125"/>
      <c r="K36" s="83"/>
      <c r="L36" s="83"/>
      <c r="M36" s="83"/>
      <c r="N36" s="83"/>
      <c r="O36" s="83"/>
      <c r="P36" s="83"/>
      <c r="Q36" s="125"/>
      <c r="R36" s="125"/>
      <c r="S36" s="125"/>
    </row>
    <row r="37" spans="1:19" s="18" customFormat="1" ht="85.5" customHeight="1" x14ac:dyDescent="0.25">
      <c r="A37" s="93" t="s">
        <v>153</v>
      </c>
      <c r="B37" s="202"/>
      <c r="C37" s="203"/>
      <c r="D37" s="143"/>
      <c r="E37" s="143"/>
      <c r="F37" s="143"/>
      <c r="G37" s="143">
        <v>342.8</v>
      </c>
      <c r="H37" s="143"/>
      <c r="I37" s="143"/>
      <c r="J37" s="125"/>
      <c r="K37" s="83"/>
      <c r="L37" s="83"/>
      <c r="M37" s="83"/>
      <c r="N37" s="83"/>
      <c r="O37" s="83"/>
      <c r="P37" s="83"/>
      <c r="Q37" s="125"/>
      <c r="R37" s="125"/>
      <c r="S37" s="125"/>
    </row>
    <row r="38" spans="1:19" s="18" customFormat="1" ht="85.5" customHeight="1" x14ac:dyDescent="0.25">
      <c r="A38" s="93" t="s">
        <v>154</v>
      </c>
      <c r="B38" s="202"/>
      <c r="C38" s="203"/>
      <c r="D38" s="143"/>
      <c r="E38" s="143"/>
      <c r="F38" s="143"/>
      <c r="G38" s="143">
        <v>90.8</v>
      </c>
      <c r="H38" s="143"/>
      <c r="I38" s="143"/>
      <c r="J38" s="125"/>
      <c r="K38" s="83"/>
      <c r="L38" s="83"/>
      <c r="M38" s="83"/>
      <c r="N38" s="83"/>
      <c r="O38" s="83"/>
      <c r="P38" s="83"/>
      <c r="Q38" s="125"/>
      <c r="R38" s="125"/>
      <c r="S38" s="125"/>
    </row>
    <row r="39" spans="1:19" s="18" customFormat="1" ht="85.5" customHeight="1" thickBot="1" x14ac:dyDescent="0.3">
      <c r="A39" s="93" t="s">
        <v>155</v>
      </c>
      <c r="B39" s="202"/>
      <c r="C39" s="203"/>
      <c r="D39" s="176"/>
      <c r="E39" s="176"/>
      <c r="F39" s="176"/>
      <c r="G39" s="176">
        <v>234.3</v>
      </c>
      <c r="H39" s="176"/>
      <c r="I39" s="176"/>
      <c r="J39" s="125"/>
      <c r="K39" s="83"/>
      <c r="L39" s="83"/>
      <c r="M39" s="83"/>
      <c r="N39" s="83"/>
      <c r="O39" s="83"/>
      <c r="P39" s="83"/>
      <c r="Q39" s="125"/>
      <c r="R39" s="125"/>
      <c r="S39" s="125"/>
    </row>
    <row r="40" spans="1:19" s="16" customFormat="1" ht="14.25" customHeight="1" thickBot="1" x14ac:dyDescent="0.3">
      <c r="A40" s="52"/>
      <c r="B40" s="80"/>
      <c r="C40" s="80"/>
      <c r="D40" s="153"/>
      <c r="E40" s="153"/>
      <c r="F40" s="153"/>
      <c r="G40" s="153"/>
      <c r="H40" s="153"/>
      <c r="I40" s="153"/>
      <c r="J40" s="83"/>
      <c r="K40" s="83"/>
      <c r="L40" s="83"/>
      <c r="M40" s="83"/>
      <c r="N40" s="83"/>
      <c r="O40" s="83"/>
      <c r="P40" s="83"/>
      <c r="Q40" s="83"/>
      <c r="R40" s="83"/>
      <c r="S40" s="83"/>
    </row>
    <row r="41" spans="1:19" s="16" customFormat="1" ht="13.5" thickBot="1" x14ac:dyDescent="0.3">
      <c r="A41" s="23"/>
      <c r="B41" s="65"/>
      <c r="C41" s="65"/>
      <c r="D41" s="140"/>
      <c r="E41" s="140"/>
      <c r="F41" s="140"/>
      <c r="G41" s="140"/>
      <c r="H41" s="140"/>
      <c r="I41" s="140"/>
      <c r="J41" s="83"/>
      <c r="K41" s="83"/>
      <c r="L41" s="83"/>
      <c r="M41" s="83"/>
      <c r="N41" s="83"/>
      <c r="O41" s="83"/>
      <c r="P41" s="83"/>
      <c r="Q41" s="83"/>
      <c r="R41" s="83"/>
      <c r="S41" s="83"/>
    </row>
    <row r="42" spans="1:19" s="14" customFormat="1" ht="45.75" customHeight="1" x14ac:dyDescent="0.25">
      <c r="A42" s="12" t="s">
        <v>12</v>
      </c>
      <c r="B42" s="66"/>
      <c r="C42" s="195"/>
      <c r="D42" s="136">
        <f t="shared" ref="D42:I42" si="14">SUM(D43:D90)</f>
        <v>198411.30000000002</v>
      </c>
      <c r="E42" s="136">
        <f t="shared" si="14"/>
        <v>8920.6999999999989</v>
      </c>
      <c r="F42" s="136">
        <f t="shared" si="14"/>
        <v>219122.4</v>
      </c>
      <c r="G42" s="136">
        <f t="shared" si="14"/>
        <v>16180.100000000002</v>
      </c>
      <c r="H42" s="136">
        <f t="shared" si="14"/>
        <v>114467.2</v>
      </c>
      <c r="I42" s="136">
        <f t="shared" si="14"/>
        <v>1958.6999999999996</v>
      </c>
      <c r="J42" s="124"/>
      <c r="K42" s="124"/>
      <c r="L42" s="124"/>
      <c r="M42" s="124"/>
      <c r="N42" s="124"/>
      <c r="O42" s="124"/>
      <c r="P42" s="124"/>
      <c r="Q42" s="124"/>
      <c r="R42" s="124"/>
      <c r="S42" s="124"/>
    </row>
    <row r="43" spans="1:19" s="23" customFormat="1" ht="65.25" customHeight="1" x14ac:dyDescent="0.25">
      <c r="A43" s="27" t="s">
        <v>13</v>
      </c>
      <c r="B43" s="71">
        <v>914</v>
      </c>
      <c r="C43" s="204" t="s">
        <v>51</v>
      </c>
      <c r="D43" s="154">
        <f>102.1-0.2</f>
        <v>101.89999999999999</v>
      </c>
      <c r="E43" s="154">
        <v>8.3000000000000007</v>
      </c>
      <c r="F43" s="154">
        <f>107.1-0.5</f>
        <v>106.6</v>
      </c>
      <c r="G43" s="154">
        <v>8.6999999999999993</v>
      </c>
      <c r="H43" s="154">
        <f>110.9-0.6</f>
        <v>110.30000000000001</v>
      </c>
      <c r="I43" s="154">
        <v>9</v>
      </c>
      <c r="J43" s="126"/>
      <c r="K43" s="83">
        <f t="shared" ref="K43:K81" si="15">D43*7.5/92.5</f>
        <v>8.262162162162161</v>
      </c>
      <c r="L43" s="83">
        <f t="shared" ref="L43:L81" si="16">E43-K43</f>
        <v>3.7837837837839672E-2</v>
      </c>
      <c r="M43" s="83">
        <f t="shared" ref="M43:M81" si="17">F43*7.5/92.5</f>
        <v>8.6432432432432424</v>
      </c>
      <c r="N43" s="83">
        <f t="shared" ref="N43:N81" si="18">G43-M43</f>
        <v>5.6756756756756843E-2</v>
      </c>
      <c r="O43" s="83">
        <f t="shared" ref="O43:O81" si="19">H43*7.5/92.5</f>
        <v>8.9432432432432449</v>
      </c>
      <c r="P43" s="83">
        <f t="shared" ref="P43:P81" si="20">I43-O43</f>
        <v>5.6756756756755067E-2</v>
      </c>
      <c r="Q43" s="126"/>
      <c r="R43" s="126"/>
      <c r="S43" s="126"/>
    </row>
    <row r="44" spans="1:19" s="23" customFormat="1" ht="68.25" customHeight="1" x14ac:dyDescent="0.25">
      <c r="A44" s="27" t="s">
        <v>14</v>
      </c>
      <c r="B44" s="71">
        <v>914</v>
      </c>
      <c r="C44" s="204" t="s">
        <v>51</v>
      </c>
      <c r="D44" s="154">
        <f>188.4-0.3</f>
        <v>188.1</v>
      </c>
      <c r="E44" s="154">
        <v>15.3</v>
      </c>
      <c r="F44" s="154">
        <f>198.8-1.1</f>
        <v>197.70000000000002</v>
      </c>
      <c r="G44" s="154">
        <v>16.100000000000001</v>
      </c>
      <c r="H44" s="154">
        <f>206.8-1.2</f>
        <v>205.60000000000002</v>
      </c>
      <c r="I44" s="154">
        <v>16.7</v>
      </c>
      <c r="J44" s="126"/>
      <c r="K44" s="83">
        <f t="shared" si="15"/>
        <v>15.251351351351351</v>
      </c>
      <c r="L44" s="83">
        <f t="shared" si="16"/>
        <v>4.8648648648649484E-2</v>
      </c>
      <c r="M44" s="83">
        <f t="shared" si="17"/>
        <v>16.029729729729731</v>
      </c>
      <c r="N44" s="83">
        <f t="shared" si="18"/>
        <v>7.0270270270270885E-2</v>
      </c>
      <c r="O44" s="83">
        <f t="shared" si="19"/>
        <v>16.670270270270272</v>
      </c>
      <c r="P44" s="83">
        <f t="shared" si="20"/>
        <v>2.9729729729726984E-2</v>
      </c>
      <c r="Q44" s="126"/>
      <c r="R44" s="126"/>
      <c r="S44" s="126"/>
    </row>
    <row r="45" spans="1:19" s="23" customFormat="1" ht="75.75" hidden="1" customHeight="1" x14ac:dyDescent="0.25">
      <c r="A45" s="27" t="s">
        <v>78</v>
      </c>
      <c r="B45" s="71">
        <v>914</v>
      </c>
      <c r="C45" s="204" t="s">
        <v>52</v>
      </c>
      <c r="D45" s="154">
        <f>11775.9-11775.9</f>
        <v>0</v>
      </c>
      <c r="E45" s="154"/>
      <c r="F45" s="154"/>
      <c r="G45" s="154"/>
      <c r="H45" s="154"/>
      <c r="I45" s="154"/>
      <c r="J45" s="126"/>
      <c r="K45" s="83">
        <f t="shared" si="15"/>
        <v>0</v>
      </c>
      <c r="L45" s="83">
        <f t="shared" si="16"/>
        <v>0</v>
      </c>
      <c r="M45" s="83">
        <f t="shared" si="17"/>
        <v>0</v>
      </c>
      <c r="N45" s="83">
        <f t="shared" si="18"/>
        <v>0</v>
      </c>
      <c r="O45" s="83">
        <f t="shared" si="19"/>
        <v>0</v>
      </c>
      <c r="P45" s="83">
        <f t="shared" si="20"/>
        <v>0</v>
      </c>
      <c r="Q45" s="126"/>
      <c r="R45" s="126"/>
      <c r="S45" s="126"/>
    </row>
    <row r="46" spans="1:19" s="23" customFormat="1" ht="87" customHeight="1" x14ac:dyDescent="0.25">
      <c r="A46" s="28" t="s">
        <v>15</v>
      </c>
      <c r="B46" s="67">
        <v>914</v>
      </c>
      <c r="C46" s="205" t="s">
        <v>53</v>
      </c>
      <c r="D46" s="143">
        <f>10570.1-10529.5</f>
        <v>40.600000000000364</v>
      </c>
      <c r="E46" s="154">
        <f>857.4-854.1</f>
        <v>3.2999999999999545</v>
      </c>
      <c r="F46" s="143">
        <v>10570.1</v>
      </c>
      <c r="G46" s="154">
        <v>857.4</v>
      </c>
      <c r="H46" s="143">
        <v>10570.1</v>
      </c>
      <c r="I46" s="154">
        <v>857.4</v>
      </c>
      <c r="J46" s="126"/>
      <c r="K46" s="83">
        <f t="shared" si="15"/>
        <v>3.2918918918919213</v>
      </c>
      <c r="L46" s="83">
        <f t="shared" si="16"/>
        <v>8.1081081080331963E-3</v>
      </c>
      <c r="M46" s="83">
        <f t="shared" si="17"/>
        <v>857.03513513513508</v>
      </c>
      <c r="N46" s="83">
        <f t="shared" si="18"/>
        <v>0.36486486486489866</v>
      </c>
      <c r="O46" s="83">
        <f t="shared" si="19"/>
        <v>857.03513513513508</v>
      </c>
      <c r="P46" s="83">
        <f t="shared" si="20"/>
        <v>0.36486486486489866</v>
      </c>
      <c r="Q46" s="126"/>
      <c r="R46" s="126"/>
      <c r="S46" s="126"/>
    </row>
    <row r="47" spans="1:19" s="23" customFormat="1" ht="45" customHeight="1" x14ac:dyDescent="0.25">
      <c r="A47" s="30" t="s">
        <v>81</v>
      </c>
      <c r="B47" s="72">
        <v>914</v>
      </c>
      <c r="C47" s="206" t="s">
        <v>52</v>
      </c>
      <c r="D47" s="157">
        <f>1339.3-209.2</f>
        <v>1130.0999999999999</v>
      </c>
      <c r="E47" s="138">
        <f>91.7-77.1</f>
        <v>14.600000000000009</v>
      </c>
      <c r="F47" s="157"/>
      <c r="G47" s="138"/>
      <c r="H47" s="157">
        <v>22593.7</v>
      </c>
      <c r="I47" s="138">
        <f>1832-1574.9</f>
        <v>257.09999999999991</v>
      </c>
      <c r="J47" s="126"/>
      <c r="K47" s="83">
        <f t="shared" si="15"/>
        <v>91.629729729729732</v>
      </c>
      <c r="L47" s="83">
        <f t="shared" si="16"/>
        <v>-77.029729729729723</v>
      </c>
      <c r="M47" s="83">
        <f t="shared" si="17"/>
        <v>0</v>
      </c>
      <c r="N47" s="83">
        <f t="shared" si="18"/>
        <v>0</v>
      </c>
      <c r="O47" s="83">
        <f t="shared" si="19"/>
        <v>1831.9216216216216</v>
      </c>
      <c r="P47" s="83">
        <f t="shared" si="20"/>
        <v>-1574.8216216216217</v>
      </c>
      <c r="Q47" s="126"/>
      <c r="R47" s="126"/>
      <c r="S47" s="126"/>
    </row>
    <row r="48" spans="1:19" s="23" customFormat="1" ht="64.5" hidden="1" customHeight="1" x14ac:dyDescent="0.25">
      <c r="A48" s="92" t="s">
        <v>60</v>
      </c>
      <c r="B48" s="70"/>
      <c r="C48" s="207"/>
      <c r="D48" s="157">
        <f>5061.8-5061.8</f>
        <v>0</v>
      </c>
      <c r="E48" s="157"/>
      <c r="F48" s="138"/>
      <c r="G48" s="138"/>
      <c r="H48" s="157"/>
      <c r="I48" s="138"/>
      <c r="J48" s="126"/>
      <c r="K48" s="83">
        <f t="shared" si="15"/>
        <v>0</v>
      </c>
      <c r="L48" s="83">
        <f t="shared" si="16"/>
        <v>0</v>
      </c>
      <c r="M48" s="83">
        <f t="shared" si="17"/>
        <v>0</v>
      </c>
      <c r="N48" s="83">
        <f t="shared" si="18"/>
        <v>0</v>
      </c>
      <c r="O48" s="83">
        <f t="shared" si="19"/>
        <v>0</v>
      </c>
      <c r="P48" s="83">
        <f t="shared" si="20"/>
        <v>0</v>
      </c>
      <c r="Q48" s="126"/>
      <c r="R48" s="126"/>
      <c r="S48" s="126"/>
    </row>
    <row r="49" spans="1:19" s="23" customFormat="1" ht="64.5" customHeight="1" x14ac:dyDescent="0.25">
      <c r="A49" s="31" t="s">
        <v>83</v>
      </c>
      <c r="B49" s="91"/>
      <c r="C49" s="207"/>
      <c r="D49" s="157"/>
      <c r="E49" s="157"/>
      <c r="F49" s="138">
        <v>2970</v>
      </c>
      <c r="G49" s="138">
        <v>30</v>
      </c>
      <c r="H49" s="138"/>
      <c r="I49" s="138"/>
      <c r="J49" s="126"/>
      <c r="K49" s="83">
        <f t="shared" si="15"/>
        <v>0</v>
      </c>
      <c r="L49" s="83">
        <f t="shared" si="16"/>
        <v>0</v>
      </c>
      <c r="M49" s="83">
        <f t="shared" ref="M49:M54" si="21">F49*1/99</f>
        <v>30</v>
      </c>
      <c r="N49" s="83">
        <f t="shared" si="18"/>
        <v>0</v>
      </c>
      <c r="O49" s="83">
        <f t="shared" si="19"/>
        <v>0</v>
      </c>
      <c r="P49" s="83">
        <f t="shared" si="20"/>
        <v>0</v>
      </c>
      <c r="Q49" s="126"/>
      <c r="R49" s="126"/>
      <c r="S49" s="126"/>
    </row>
    <row r="50" spans="1:19" s="23" customFormat="1" ht="64.5" customHeight="1" x14ac:dyDescent="0.25">
      <c r="A50" s="31" t="s">
        <v>84</v>
      </c>
      <c r="B50" s="91"/>
      <c r="C50" s="207"/>
      <c r="D50" s="157"/>
      <c r="E50" s="157"/>
      <c r="F50" s="138">
        <v>6138</v>
      </c>
      <c r="G50" s="138">
        <v>62</v>
      </c>
      <c r="H50" s="138"/>
      <c r="I50" s="138"/>
      <c r="J50" s="126"/>
      <c r="K50" s="83">
        <f t="shared" si="15"/>
        <v>0</v>
      </c>
      <c r="L50" s="83">
        <f t="shared" si="16"/>
        <v>0</v>
      </c>
      <c r="M50" s="83">
        <f t="shared" si="21"/>
        <v>62</v>
      </c>
      <c r="N50" s="83">
        <f>G50-M50</f>
        <v>0</v>
      </c>
      <c r="O50" s="83">
        <f t="shared" si="19"/>
        <v>0</v>
      </c>
      <c r="P50" s="83">
        <f t="shared" si="20"/>
        <v>0</v>
      </c>
      <c r="Q50" s="126"/>
      <c r="R50" s="126"/>
      <c r="S50" s="126"/>
    </row>
    <row r="51" spans="1:19" s="23" customFormat="1" ht="64.5" customHeight="1" x14ac:dyDescent="0.25">
      <c r="A51" s="31" t="s">
        <v>65</v>
      </c>
      <c r="B51" s="91"/>
      <c r="C51" s="207"/>
      <c r="D51" s="157"/>
      <c r="E51" s="157"/>
      <c r="F51" s="138">
        <v>7128</v>
      </c>
      <c r="G51" s="138">
        <v>72</v>
      </c>
      <c r="H51" s="138"/>
      <c r="I51" s="138"/>
      <c r="J51" s="126"/>
      <c r="K51" s="83">
        <f t="shared" si="15"/>
        <v>0</v>
      </c>
      <c r="L51" s="83">
        <f t="shared" si="16"/>
        <v>0</v>
      </c>
      <c r="M51" s="83">
        <f t="shared" si="21"/>
        <v>72</v>
      </c>
      <c r="N51" s="83">
        <f>G51-M51</f>
        <v>0</v>
      </c>
      <c r="O51" s="83">
        <f t="shared" si="19"/>
        <v>0</v>
      </c>
      <c r="P51" s="83">
        <f t="shared" si="20"/>
        <v>0</v>
      </c>
      <c r="Q51" s="126"/>
      <c r="R51" s="126"/>
      <c r="S51" s="126"/>
    </row>
    <row r="52" spans="1:19" s="23" customFormat="1" ht="64.5" customHeight="1" x14ac:dyDescent="0.25">
      <c r="A52" s="31" t="s">
        <v>85</v>
      </c>
      <c r="B52" s="91"/>
      <c r="C52" s="207"/>
      <c r="D52" s="157"/>
      <c r="E52" s="157"/>
      <c r="F52" s="138">
        <v>2178</v>
      </c>
      <c r="G52" s="138">
        <v>22</v>
      </c>
      <c r="H52" s="138"/>
      <c r="I52" s="138"/>
      <c r="J52" s="126"/>
      <c r="K52" s="83">
        <f t="shared" si="15"/>
        <v>0</v>
      </c>
      <c r="L52" s="83">
        <f t="shared" si="16"/>
        <v>0</v>
      </c>
      <c r="M52" s="83">
        <f t="shared" si="21"/>
        <v>22</v>
      </c>
      <c r="N52" s="83">
        <f>G52-M52</f>
        <v>0</v>
      </c>
      <c r="O52" s="83">
        <f t="shared" si="19"/>
        <v>0</v>
      </c>
      <c r="P52" s="83">
        <f t="shared" si="20"/>
        <v>0</v>
      </c>
      <c r="Q52" s="126"/>
      <c r="R52" s="126"/>
      <c r="S52" s="126"/>
    </row>
    <row r="53" spans="1:19" s="23" customFormat="1" ht="64.5" customHeight="1" x14ac:dyDescent="0.25">
      <c r="A53" s="31" t="s">
        <v>86</v>
      </c>
      <c r="B53" s="91"/>
      <c r="C53" s="207"/>
      <c r="D53" s="157"/>
      <c r="E53" s="157"/>
      <c r="F53" s="138">
        <v>3465</v>
      </c>
      <c r="G53" s="138">
        <v>35</v>
      </c>
      <c r="H53" s="138"/>
      <c r="I53" s="138"/>
      <c r="J53" s="126"/>
      <c r="K53" s="83">
        <f t="shared" si="15"/>
        <v>0</v>
      </c>
      <c r="L53" s="83">
        <f t="shared" si="16"/>
        <v>0</v>
      </c>
      <c r="M53" s="83">
        <f t="shared" si="21"/>
        <v>35</v>
      </c>
      <c r="N53" s="83">
        <f>G53-M53</f>
        <v>0</v>
      </c>
      <c r="O53" s="83">
        <f t="shared" si="19"/>
        <v>0</v>
      </c>
      <c r="P53" s="83">
        <f t="shared" si="20"/>
        <v>0</v>
      </c>
      <c r="Q53" s="126"/>
      <c r="R53" s="126"/>
      <c r="S53" s="126"/>
    </row>
    <row r="54" spans="1:19" s="23" customFormat="1" ht="64.5" customHeight="1" x14ac:dyDescent="0.25">
      <c r="A54" s="31" t="s">
        <v>87</v>
      </c>
      <c r="B54" s="91"/>
      <c r="C54" s="207"/>
      <c r="D54" s="157"/>
      <c r="E54" s="157"/>
      <c r="F54" s="138">
        <v>5544</v>
      </c>
      <c r="G54" s="138">
        <v>56</v>
      </c>
      <c r="H54" s="138"/>
      <c r="I54" s="138"/>
      <c r="J54" s="126"/>
      <c r="K54" s="83">
        <f t="shared" si="15"/>
        <v>0</v>
      </c>
      <c r="L54" s="83">
        <f t="shared" si="16"/>
        <v>0</v>
      </c>
      <c r="M54" s="83">
        <f t="shared" si="21"/>
        <v>56</v>
      </c>
      <c r="N54" s="83">
        <f>G54-M54</f>
        <v>0</v>
      </c>
      <c r="O54" s="83">
        <f t="shared" si="19"/>
        <v>0</v>
      </c>
      <c r="P54" s="83">
        <f t="shared" si="20"/>
        <v>0</v>
      </c>
      <c r="Q54" s="126"/>
      <c r="R54" s="126"/>
      <c r="S54" s="126"/>
    </row>
    <row r="55" spans="1:19" s="23" customFormat="1" ht="64.5" hidden="1" customHeight="1" x14ac:dyDescent="0.25">
      <c r="A55" s="31" t="s">
        <v>89</v>
      </c>
      <c r="B55" s="91"/>
      <c r="C55" s="207"/>
      <c r="D55" s="157"/>
      <c r="E55" s="157"/>
      <c r="F55" s="138"/>
      <c r="G55" s="138"/>
      <c r="H55" s="138">
        <f>10695.9-10695.9</f>
        <v>0</v>
      </c>
      <c r="I55" s="138"/>
      <c r="J55" s="126"/>
      <c r="K55" s="83">
        <f t="shared" si="15"/>
        <v>0</v>
      </c>
      <c r="L55" s="83">
        <f t="shared" si="16"/>
        <v>0</v>
      </c>
      <c r="M55" s="83">
        <f t="shared" si="17"/>
        <v>0</v>
      </c>
      <c r="N55" s="83">
        <f t="shared" si="18"/>
        <v>0</v>
      </c>
      <c r="O55" s="83">
        <f t="shared" si="19"/>
        <v>0</v>
      </c>
      <c r="P55" s="83">
        <f t="shared" si="20"/>
        <v>0</v>
      </c>
      <c r="Q55" s="126"/>
      <c r="R55" s="126"/>
      <c r="S55" s="126"/>
    </row>
    <row r="56" spans="1:19" s="23" customFormat="1" ht="64.5" hidden="1" customHeight="1" x14ac:dyDescent="0.25">
      <c r="A56" s="31" t="s">
        <v>90</v>
      </c>
      <c r="B56" s="91"/>
      <c r="C56" s="207"/>
      <c r="D56" s="157"/>
      <c r="E56" s="157"/>
      <c r="F56" s="138"/>
      <c r="G56" s="138"/>
      <c r="H56" s="138">
        <f>6938.5-6938.5</f>
        <v>0</v>
      </c>
      <c r="I56" s="138"/>
      <c r="J56" s="126"/>
      <c r="K56" s="83">
        <f t="shared" si="15"/>
        <v>0</v>
      </c>
      <c r="L56" s="83">
        <f t="shared" si="16"/>
        <v>0</v>
      </c>
      <c r="M56" s="83">
        <f t="shared" si="17"/>
        <v>0</v>
      </c>
      <c r="N56" s="83">
        <f t="shared" si="18"/>
        <v>0</v>
      </c>
      <c r="O56" s="83">
        <f t="shared" si="19"/>
        <v>0</v>
      </c>
      <c r="P56" s="83">
        <f t="shared" si="20"/>
        <v>0</v>
      </c>
      <c r="Q56" s="126"/>
      <c r="R56" s="126"/>
      <c r="S56" s="126"/>
    </row>
    <row r="57" spans="1:19" s="23" customFormat="1" ht="64.5" hidden="1" customHeight="1" x14ac:dyDescent="0.25">
      <c r="A57" s="31" t="s">
        <v>91</v>
      </c>
      <c r="B57" s="91"/>
      <c r="C57" s="207"/>
      <c r="D57" s="157"/>
      <c r="E57" s="157"/>
      <c r="F57" s="138"/>
      <c r="G57" s="138"/>
      <c r="H57" s="138">
        <f>2249.2-2249.2</f>
        <v>0</v>
      </c>
      <c r="I57" s="138"/>
      <c r="J57" s="126"/>
      <c r="K57" s="83">
        <f t="shared" si="15"/>
        <v>0</v>
      </c>
      <c r="L57" s="83">
        <f t="shared" si="16"/>
        <v>0</v>
      </c>
      <c r="M57" s="83">
        <f t="shared" si="17"/>
        <v>0</v>
      </c>
      <c r="N57" s="83">
        <f t="shared" si="18"/>
        <v>0</v>
      </c>
      <c r="O57" s="83">
        <f t="shared" si="19"/>
        <v>0</v>
      </c>
      <c r="P57" s="83">
        <f t="shared" si="20"/>
        <v>0</v>
      </c>
      <c r="Q57" s="126"/>
      <c r="R57" s="126"/>
      <c r="S57" s="126"/>
    </row>
    <row r="58" spans="1:19" s="23" customFormat="1" ht="64.5" hidden="1" customHeight="1" x14ac:dyDescent="0.25">
      <c r="A58" s="31" t="s">
        <v>92</v>
      </c>
      <c r="B58" s="91"/>
      <c r="C58" s="207"/>
      <c r="D58" s="157"/>
      <c r="E58" s="157"/>
      <c r="F58" s="138"/>
      <c r="G58" s="138"/>
      <c r="H58" s="138">
        <f>2313.5-2313.5</f>
        <v>0</v>
      </c>
      <c r="I58" s="138"/>
      <c r="J58" s="126"/>
      <c r="K58" s="83">
        <f t="shared" si="15"/>
        <v>0</v>
      </c>
      <c r="L58" s="83">
        <f t="shared" si="16"/>
        <v>0</v>
      </c>
      <c r="M58" s="83">
        <f t="shared" si="17"/>
        <v>0</v>
      </c>
      <c r="N58" s="83">
        <f t="shared" si="18"/>
        <v>0</v>
      </c>
      <c r="O58" s="83">
        <f t="shared" si="19"/>
        <v>0</v>
      </c>
      <c r="P58" s="83">
        <f t="shared" si="20"/>
        <v>0</v>
      </c>
      <c r="Q58" s="126"/>
      <c r="R58" s="126"/>
      <c r="S58" s="126"/>
    </row>
    <row r="59" spans="1:19" s="23" customFormat="1" ht="64.5" hidden="1" customHeight="1" x14ac:dyDescent="0.25">
      <c r="A59" s="31" t="s">
        <v>93</v>
      </c>
      <c r="B59" s="91"/>
      <c r="C59" s="207"/>
      <c r="D59" s="157"/>
      <c r="E59" s="157"/>
      <c r="F59" s="138"/>
      <c r="G59" s="138"/>
      <c r="H59" s="138">
        <f>4010-4010</f>
        <v>0</v>
      </c>
      <c r="I59" s="138"/>
      <c r="J59" s="126"/>
      <c r="K59" s="83">
        <f t="shared" si="15"/>
        <v>0</v>
      </c>
      <c r="L59" s="83">
        <f t="shared" si="16"/>
        <v>0</v>
      </c>
      <c r="M59" s="83">
        <f t="shared" si="17"/>
        <v>0</v>
      </c>
      <c r="N59" s="83">
        <f t="shared" si="18"/>
        <v>0</v>
      </c>
      <c r="O59" s="83">
        <f t="shared" si="19"/>
        <v>0</v>
      </c>
      <c r="P59" s="83">
        <f t="shared" si="20"/>
        <v>0</v>
      </c>
      <c r="Q59" s="126"/>
      <c r="R59" s="126"/>
      <c r="S59" s="126"/>
    </row>
    <row r="60" spans="1:19" s="23" customFormat="1" ht="64.5" hidden="1" customHeight="1" x14ac:dyDescent="0.25">
      <c r="A60" s="31" t="s">
        <v>94</v>
      </c>
      <c r="B60" s="91"/>
      <c r="C60" s="207"/>
      <c r="D60" s="157"/>
      <c r="E60" s="157"/>
      <c r="F60" s="138"/>
      <c r="G60" s="138"/>
      <c r="H60" s="138">
        <f>24897.5-24897.5</f>
        <v>0</v>
      </c>
      <c r="I60" s="138"/>
      <c r="J60" s="126"/>
      <c r="K60" s="83">
        <f t="shared" si="15"/>
        <v>0</v>
      </c>
      <c r="L60" s="83">
        <f t="shared" si="16"/>
        <v>0</v>
      </c>
      <c r="M60" s="83">
        <f t="shared" si="17"/>
        <v>0</v>
      </c>
      <c r="N60" s="83">
        <f t="shared" si="18"/>
        <v>0</v>
      </c>
      <c r="O60" s="83">
        <f t="shared" si="19"/>
        <v>0</v>
      </c>
      <c r="P60" s="83">
        <f t="shared" si="20"/>
        <v>0</v>
      </c>
      <c r="Q60" s="126"/>
      <c r="R60" s="126"/>
      <c r="S60" s="126"/>
    </row>
    <row r="61" spans="1:19" s="23" customFormat="1" ht="64.5" hidden="1" customHeight="1" x14ac:dyDescent="0.25">
      <c r="A61" s="90" t="s">
        <v>95</v>
      </c>
      <c r="B61" s="91"/>
      <c r="C61" s="207"/>
      <c r="D61" s="157"/>
      <c r="E61" s="157"/>
      <c r="F61" s="138"/>
      <c r="G61" s="138"/>
      <c r="H61" s="138">
        <f>12455.8-12455.8</f>
        <v>0</v>
      </c>
      <c r="I61" s="138"/>
      <c r="J61" s="126"/>
      <c r="K61" s="83">
        <f t="shared" si="15"/>
        <v>0</v>
      </c>
      <c r="L61" s="83">
        <f t="shared" si="16"/>
        <v>0</v>
      </c>
      <c r="M61" s="83">
        <f t="shared" si="17"/>
        <v>0</v>
      </c>
      <c r="N61" s="83">
        <f t="shared" si="18"/>
        <v>0</v>
      </c>
      <c r="O61" s="83">
        <f t="shared" si="19"/>
        <v>0</v>
      </c>
      <c r="P61" s="83">
        <f t="shared" si="20"/>
        <v>0</v>
      </c>
      <c r="Q61" s="126"/>
      <c r="R61" s="126"/>
      <c r="S61" s="126"/>
    </row>
    <row r="62" spans="1:19" s="23" customFormat="1" ht="64.5" hidden="1" customHeight="1" x14ac:dyDescent="0.25">
      <c r="A62" s="92" t="s">
        <v>96</v>
      </c>
      <c r="B62" s="91"/>
      <c r="C62" s="207"/>
      <c r="D62" s="157"/>
      <c r="E62" s="157"/>
      <c r="F62" s="138"/>
      <c r="G62" s="138"/>
      <c r="H62" s="138">
        <f>1409.6-1409.6</f>
        <v>0</v>
      </c>
      <c r="I62" s="138"/>
      <c r="J62" s="126"/>
      <c r="K62" s="83">
        <f t="shared" si="15"/>
        <v>0</v>
      </c>
      <c r="L62" s="83">
        <f t="shared" si="16"/>
        <v>0</v>
      </c>
      <c r="M62" s="83">
        <f t="shared" si="17"/>
        <v>0</v>
      </c>
      <c r="N62" s="83">
        <f t="shared" si="18"/>
        <v>0</v>
      </c>
      <c r="O62" s="83">
        <f t="shared" si="19"/>
        <v>0</v>
      </c>
      <c r="P62" s="83">
        <f t="shared" si="20"/>
        <v>0</v>
      </c>
      <c r="Q62" s="126"/>
      <c r="R62" s="126"/>
      <c r="S62" s="126"/>
    </row>
    <row r="63" spans="1:19" s="23" customFormat="1" ht="64.5" customHeight="1" x14ac:dyDescent="0.25">
      <c r="A63" s="90" t="s">
        <v>97</v>
      </c>
      <c r="B63" s="91"/>
      <c r="C63" s="207"/>
      <c r="D63" s="157"/>
      <c r="E63" s="157"/>
      <c r="F63" s="138"/>
      <c r="G63" s="138"/>
      <c r="H63" s="138">
        <f>7780+2838.6</f>
        <v>10618.6</v>
      </c>
      <c r="I63" s="138">
        <v>107.3</v>
      </c>
      <c r="J63" s="126"/>
      <c r="K63" s="83">
        <f t="shared" si="15"/>
        <v>0</v>
      </c>
      <c r="L63" s="83">
        <f t="shared" si="16"/>
        <v>0</v>
      </c>
      <c r="M63" s="83">
        <f t="shared" si="17"/>
        <v>0</v>
      </c>
      <c r="N63" s="83">
        <f t="shared" si="18"/>
        <v>0</v>
      </c>
      <c r="O63" s="83">
        <f t="shared" ref="O63:O72" si="22">H63*1/99</f>
        <v>107.25858585858586</v>
      </c>
      <c r="P63" s="83">
        <f t="shared" si="20"/>
        <v>4.1414141414136907E-2</v>
      </c>
      <c r="Q63" s="126"/>
      <c r="R63" s="126"/>
      <c r="S63" s="126"/>
    </row>
    <row r="64" spans="1:19" s="23" customFormat="1" ht="64.5" customHeight="1" x14ac:dyDescent="0.25">
      <c r="A64" s="90" t="s">
        <v>98</v>
      </c>
      <c r="B64" s="91"/>
      <c r="C64" s="207"/>
      <c r="D64" s="157"/>
      <c r="E64" s="157"/>
      <c r="F64" s="138"/>
      <c r="G64" s="138"/>
      <c r="H64" s="138">
        <f>4798.7+1755.8</f>
        <v>6554.5</v>
      </c>
      <c r="I64" s="138">
        <f>66.2+0.1</f>
        <v>66.3</v>
      </c>
      <c r="J64" s="126"/>
      <c r="K64" s="83">
        <f t="shared" si="15"/>
        <v>0</v>
      </c>
      <c r="L64" s="83">
        <f t="shared" si="16"/>
        <v>0</v>
      </c>
      <c r="M64" s="83">
        <f t="shared" si="17"/>
        <v>0</v>
      </c>
      <c r="N64" s="83">
        <f t="shared" si="18"/>
        <v>0</v>
      </c>
      <c r="O64" s="83">
        <f t="shared" si="22"/>
        <v>66.207070707070713</v>
      </c>
      <c r="P64" s="83">
        <f t="shared" si="20"/>
        <v>9.2929292929284202E-2</v>
      </c>
      <c r="Q64" s="126"/>
      <c r="R64" s="126"/>
      <c r="S64" s="126"/>
    </row>
    <row r="65" spans="1:19" s="23" customFormat="1" ht="64.5" customHeight="1" x14ac:dyDescent="0.25">
      <c r="A65" s="90" t="s">
        <v>99</v>
      </c>
      <c r="B65" s="91"/>
      <c r="C65" s="207"/>
      <c r="D65" s="157"/>
      <c r="E65" s="157"/>
      <c r="F65" s="138"/>
      <c r="G65" s="138"/>
      <c r="H65" s="138">
        <f>25644.3+2176.1</f>
        <v>27820.399999999998</v>
      </c>
      <c r="I65" s="138">
        <v>281.10000000000002</v>
      </c>
      <c r="J65" s="126"/>
      <c r="K65" s="83">
        <f t="shared" si="15"/>
        <v>0</v>
      </c>
      <c r="L65" s="83">
        <f t="shared" si="16"/>
        <v>0</v>
      </c>
      <c r="M65" s="83">
        <f t="shared" si="17"/>
        <v>0</v>
      </c>
      <c r="N65" s="83">
        <f t="shared" si="18"/>
        <v>0</v>
      </c>
      <c r="O65" s="83">
        <f t="shared" si="22"/>
        <v>281.01414141414142</v>
      </c>
      <c r="P65" s="83">
        <f t="shared" si="20"/>
        <v>8.585858585860251E-2</v>
      </c>
      <c r="Q65" s="126"/>
      <c r="R65" s="126"/>
      <c r="S65" s="126"/>
    </row>
    <row r="66" spans="1:19" s="23" customFormat="1" ht="64.5" customHeight="1" x14ac:dyDescent="0.25">
      <c r="A66" s="90" t="s">
        <v>100</v>
      </c>
      <c r="B66" s="91"/>
      <c r="C66" s="207"/>
      <c r="D66" s="157"/>
      <c r="E66" s="157"/>
      <c r="F66" s="138"/>
      <c r="G66" s="138"/>
      <c r="H66" s="138">
        <f>6658.9+548.9</f>
        <v>7207.7999999999993</v>
      </c>
      <c r="I66" s="138">
        <f>72.8+0.1</f>
        <v>72.899999999999991</v>
      </c>
      <c r="J66" s="126"/>
      <c r="K66" s="83">
        <f t="shared" si="15"/>
        <v>0</v>
      </c>
      <c r="L66" s="83">
        <f t="shared" si="16"/>
        <v>0</v>
      </c>
      <c r="M66" s="83">
        <f t="shared" si="17"/>
        <v>0</v>
      </c>
      <c r="N66" s="83">
        <f t="shared" si="18"/>
        <v>0</v>
      </c>
      <c r="O66" s="83">
        <f t="shared" si="22"/>
        <v>72.806060606060598</v>
      </c>
      <c r="P66" s="83">
        <f t="shared" si="20"/>
        <v>9.3939393939393767E-2</v>
      </c>
      <c r="Q66" s="126"/>
      <c r="R66" s="126"/>
      <c r="S66" s="126"/>
    </row>
    <row r="67" spans="1:19" s="23" customFormat="1" ht="64.5" hidden="1" customHeight="1" x14ac:dyDescent="0.25">
      <c r="A67" s="90" t="s">
        <v>101</v>
      </c>
      <c r="B67" s="91"/>
      <c r="C67" s="207"/>
      <c r="D67" s="157"/>
      <c r="E67" s="157"/>
      <c r="F67" s="138"/>
      <c r="G67" s="138"/>
      <c r="H67" s="138">
        <f>4048.7-4048.7</f>
        <v>0</v>
      </c>
      <c r="I67" s="138"/>
      <c r="J67" s="126"/>
      <c r="K67" s="83">
        <f t="shared" si="15"/>
        <v>0</v>
      </c>
      <c r="L67" s="83">
        <f t="shared" si="16"/>
        <v>0</v>
      </c>
      <c r="M67" s="83">
        <f t="shared" si="17"/>
        <v>0</v>
      </c>
      <c r="N67" s="83">
        <f t="shared" si="18"/>
        <v>0</v>
      </c>
      <c r="O67" s="83">
        <f t="shared" si="22"/>
        <v>0</v>
      </c>
      <c r="P67" s="83">
        <f t="shared" si="20"/>
        <v>0</v>
      </c>
      <c r="Q67" s="126"/>
      <c r="R67" s="126"/>
      <c r="S67" s="126"/>
    </row>
    <row r="68" spans="1:19" s="23" customFormat="1" ht="64.5" hidden="1" customHeight="1" x14ac:dyDescent="0.25">
      <c r="A68" s="92" t="s">
        <v>102</v>
      </c>
      <c r="B68" s="91"/>
      <c r="C68" s="207"/>
      <c r="D68" s="157"/>
      <c r="E68" s="157"/>
      <c r="F68" s="138"/>
      <c r="G68" s="138"/>
      <c r="H68" s="138">
        <f>2232.1-2232.1</f>
        <v>0</v>
      </c>
      <c r="I68" s="138"/>
      <c r="J68" s="126"/>
      <c r="K68" s="83">
        <f t="shared" si="15"/>
        <v>0</v>
      </c>
      <c r="L68" s="83">
        <f t="shared" si="16"/>
        <v>0</v>
      </c>
      <c r="M68" s="83">
        <f t="shared" si="17"/>
        <v>0</v>
      </c>
      <c r="N68" s="83">
        <f t="shared" si="18"/>
        <v>0</v>
      </c>
      <c r="O68" s="83">
        <f t="shared" si="22"/>
        <v>0</v>
      </c>
      <c r="P68" s="83">
        <f t="shared" si="20"/>
        <v>0</v>
      </c>
      <c r="Q68" s="126"/>
      <c r="R68" s="126"/>
      <c r="S68" s="126"/>
    </row>
    <row r="69" spans="1:19" s="23" customFormat="1" ht="64.5" hidden="1" customHeight="1" x14ac:dyDescent="0.25">
      <c r="A69" s="90" t="s">
        <v>103</v>
      </c>
      <c r="B69" s="91"/>
      <c r="C69" s="207"/>
      <c r="D69" s="157"/>
      <c r="E69" s="157"/>
      <c r="F69" s="138"/>
      <c r="G69" s="138"/>
      <c r="H69" s="208">
        <f>2244.1-2244.1</f>
        <v>0</v>
      </c>
      <c r="I69" s="138"/>
      <c r="J69" s="126"/>
      <c r="K69" s="83">
        <f t="shared" si="15"/>
        <v>0</v>
      </c>
      <c r="L69" s="83">
        <f t="shared" si="16"/>
        <v>0</v>
      </c>
      <c r="M69" s="83">
        <f t="shared" si="17"/>
        <v>0</v>
      </c>
      <c r="N69" s="83">
        <f t="shared" si="18"/>
        <v>0</v>
      </c>
      <c r="O69" s="83">
        <f t="shared" si="22"/>
        <v>0</v>
      </c>
      <c r="P69" s="83">
        <f t="shared" si="20"/>
        <v>0</v>
      </c>
      <c r="Q69" s="126"/>
      <c r="R69" s="126"/>
      <c r="S69" s="126"/>
    </row>
    <row r="70" spans="1:19" s="23" customFormat="1" ht="64.5" customHeight="1" x14ac:dyDescent="0.25">
      <c r="A70" s="90" t="s">
        <v>104</v>
      </c>
      <c r="B70" s="91"/>
      <c r="C70" s="207"/>
      <c r="D70" s="157"/>
      <c r="E70" s="157"/>
      <c r="F70" s="138"/>
      <c r="G70" s="138"/>
      <c r="H70" s="208">
        <f>15993+1339.1</f>
        <v>17332.099999999999</v>
      </c>
      <c r="I70" s="138">
        <v>175.1</v>
      </c>
      <c r="J70" s="126"/>
      <c r="K70" s="83">
        <f t="shared" si="15"/>
        <v>0</v>
      </c>
      <c r="L70" s="83">
        <f t="shared" si="16"/>
        <v>0</v>
      </c>
      <c r="M70" s="83">
        <f t="shared" si="17"/>
        <v>0</v>
      </c>
      <c r="N70" s="83">
        <f t="shared" si="18"/>
        <v>0</v>
      </c>
      <c r="O70" s="83">
        <f t="shared" si="22"/>
        <v>175.07171717171715</v>
      </c>
      <c r="P70" s="83">
        <f t="shared" si="20"/>
        <v>2.8282828282840455E-2</v>
      </c>
      <c r="Q70" s="126"/>
      <c r="R70" s="126"/>
      <c r="S70" s="126"/>
    </row>
    <row r="71" spans="1:19" s="23" customFormat="1" ht="64.5" customHeight="1" x14ac:dyDescent="0.25">
      <c r="A71" s="90" t="s">
        <v>105</v>
      </c>
      <c r="B71" s="91"/>
      <c r="C71" s="207"/>
      <c r="D71" s="157"/>
      <c r="E71" s="157"/>
      <c r="F71" s="138"/>
      <c r="G71" s="138"/>
      <c r="H71" s="208">
        <f>3744.1+321.8</f>
        <v>4065.9</v>
      </c>
      <c r="I71" s="138">
        <v>41.1</v>
      </c>
      <c r="J71" s="126"/>
      <c r="K71" s="83">
        <f t="shared" si="15"/>
        <v>0</v>
      </c>
      <c r="L71" s="83">
        <f t="shared" si="16"/>
        <v>0</v>
      </c>
      <c r="M71" s="83">
        <f t="shared" si="17"/>
        <v>0</v>
      </c>
      <c r="N71" s="83">
        <f t="shared" si="18"/>
        <v>0</v>
      </c>
      <c r="O71" s="83">
        <f t="shared" si="22"/>
        <v>41.06969696969697</v>
      </c>
      <c r="P71" s="83">
        <f t="shared" si="20"/>
        <v>3.0303030303031164E-2</v>
      </c>
      <c r="Q71" s="126"/>
      <c r="R71" s="126"/>
      <c r="S71" s="126"/>
    </row>
    <row r="72" spans="1:19" s="23" customFormat="1" ht="64.5" customHeight="1" x14ac:dyDescent="0.25">
      <c r="A72" s="90" t="s">
        <v>106</v>
      </c>
      <c r="B72" s="91"/>
      <c r="C72" s="207"/>
      <c r="D72" s="157"/>
      <c r="E72" s="157"/>
      <c r="F72" s="138"/>
      <c r="G72" s="138"/>
      <c r="H72" s="208">
        <f>5672.9+1715.3</f>
        <v>7388.2</v>
      </c>
      <c r="I72" s="138">
        <v>74.7</v>
      </c>
      <c r="J72" s="126"/>
      <c r="K72" s="83">
        <f t="shared" si="15"/>
        <v>0</v>
      </c>
      <c r="L72" s="83">
        <f t="shared" si="16"/>
        <v>0</v>
      </c>
      <c r="M72" s="83">
        <f t="shared" si="17"/>
        <v>0</v>
      </c>
      <c r="N72" s="83">
        <f t="shared" si="18"/>
        <v>0</v>
      </c>
      <c r="O72" s="83">
        <f t="shared" si="22"/>
        <v>74.628282828282821</v>
      </c>
      <c r="P72" s="83">
        <f t="shared" si="20"/>
        <v>7.1717171717182282E-2</v>
      </c>
      <c r="Q72" s="126"/>
      <c r="R72" s="126"/>
      <c r="S72" s="126"/>
    </row>
    <row r="73" spans="1:19" s="23" customFormat="1" ht="64.5" hidden="1" customHeight="1" x14ac:dyDescent="0.25">
      <c r="A73" s="90" t="s">
        <v>107</v>
      </c>
      <c r="B73" s="91"/>
      <c r="C73" s="207"/>
      <c r="D73" s="157"/>
      <c r="E73" s="157"/>
      <c r="F73" s="138"/>
      <c r="G73" s="138"/>
      <c r="H73" s="209">
        <f>33678.3-33678.3</f>
        <v>0</v>
      </c>
      <c r="I73" s="138"/>
      <c r="J73" s="126"/>
      <c r="K73" s="83">
        <f t="shared" si="15"/>
        <v>0</v>
      </c>
      <c r="L73" s="83">
        <f t="shared" si="16"/>
        <v>0</v>
      </c>
      <c r="M73" s="83">
        <f t="shared" si="17"/>
        <v>0</v>
      </c>
      <c r="N73" s="83">
        <f t="shared" si="18"/>
        <v>0</v>
      </c>
      <c r="O73" s="83">
        <f t="shared" si="19"/>
        <v>0</v>
      </c>
      <c r="P73" s="83">
        <f t="shared" si="20"/>
        <v>0</v>
      </c>
      <c r="Q73" s="126"/>
      <c r="R73" s="126"/>
      <c r="S73" s="126"/>
    </row>
    <row r="74" spans="1:19" s="23" customFormat="1" ht="64.5" hidden="1" customHeight="1" x14ac:dyDescent="0.25">
      <c r="A74" s="90" t="s">
        <v>108</v>
      </c>
      <c r="B74" s="91"/>
      <c r="C74" s="207"/>
      <c r="D74" s="157"/>
      <c r="E74" s="157"/>
      <c r="F74" s="138"/>
      <c r="G74" s="138"/>
      <c r="H74" s="210">
        <f>1485.6-1485.6</f>
        <v>0</v>
      </c>
      <c r="I74" s="154"/>
      <c r="J74" s="126"/>
      <c r="K74" s="83">
        <f t="shared" si="15"/>
        <v>0</v>
      </c>
      <c r="L74" s="83">
        <f t="shared" si="16"/>
        <v>0</v>
      </c>
      <c r="M74" s="83">
        <f t="shared" si="17"/>
        <v>0</v>
      </c>
      <c r="N74" s="83">
        <f t="shared" si="18"/>
        <v>0</v>
      </c>
      <c r="O74" s="83">
        <f t="shared" si="19"/>
        <v>0</v>
      </c>
      <c r="P74" s="83">
        <f t="shared" si="20"/>
        <v>0</v>
      </c>
      <c r="Q74" s="126"/>
      <c r="R74" s="126"/>
      <c r="S74" s="126"/>
    </row>
    <row r="75" spans="1:19" s="23" customFormat="1" ht="64.5" hidden="1" customHeight="1" x14ac:dyDescent="0.25">
      <c r="A75" s="90" t="s">
        <v>109</v>
      </c>
      <c r="B75" s="91"/>
      <c r="C75" s="207"/>
      <c r="D75" s="157"/>
      <c r="E75" s="157"/>
      <c r="F75" s="138"/>
      <c r="G75" s="138"/>
      <c r="H75" s="210">
        <f>2036.8-2036.8</f>
        <v>0</v>
      </c>
      <c r="I75" s="154"/>
      <c r="J75" s="126"/>
      <c r="K75" s="83">
        <f t="shared" si="15"/>
        <v>0</v>
      </c>
      <c r="L75" s="83">
        <f t="shared" si="16"/>
        <v>0</v>
      </c>
      <c r="M75" s="83">
        <f t="shared" si="17"/>
        <v>0</v>
      </c>
      <c r="N75" s="83">
        <f t="shared" si="18"/>
        <v>0</v>
      </c>
      <c r="O75" s="83">
        <f t="shared" si="19"/>
        <v>0</v>
      </c>
      <c r="P75" s="83">
        <f t="shared" si="20"/>
        <v>0</v>
      </c>
      <c r="Q75" s="126"/>
      <c r="R75" s="126"/>
      <c r="S75" s="126"/>
    </row>
    <row r="76" spans="1:19" s="23" customFormat="1" ht="64.5" customHeight="1" x14ac:dyDescent="0.25">
      <c r="A76" s="31" t="s">
        <v>88</v>
      </c>
      <c r="B76" s="91"/>
      <c r="C76" s="207"/>
      <c r="D76" s="157"/>
      <c r="E76" s="157"/>
      <c r="F76" s="138">
        <v>20295</v>
      </c>
      <c r="G76" s="138">
        <v>205</v>
      </c>
      <c r="H76" s="138"/>
      <c r="I76" s="138"/>
      <c r="J76" s="126"/>
      <c r="K76" s="83">
        <f t="shared" si="15"/>
        <v>0</v>
      </c>
      <c r="L76" s="83">
        <f t="shared" si="16"/>
        <v>0</v>
      </c>
      <c r="M76" s="83">
        <f>F76*1/99</f>
        <v>205</v>
      </c>
      <c r="N76" s="83">
        <f t="shared" si="18"/>
        <v>0</v>
      </c>
      <c r="O76" s="83">
        <f t="shared" si="19"/>
        <v>0</v>
      </c>
      <c r="P76" s="83">
        <f t="shared" si="20"/>
        <v>0</v>
      </c>
      <c r="Q76" s="126"/>
      <c r="R76" s="126"/>
      <c r="S76" s="126"/>
    </row>
    <row r="77" spans="1:19" s="23" customFormat="1" ht="42.75" hidden="1" customHeight="1" x14ac:dyDescent="0.25">
      <c r="A77" s="31" t="s">
        <v>79</v>
      </c>
      <c r="B77" s="91"/>
      <c r="C77" s="207"/>
      <c r="D77" s="157">
        <f>55836-55836</f>
        <v>0</v>
      </c>
      <c r="E77" s="157"/>
      <c r="F77" s="138"/>
      <c r="G77" s="138"/>
      <c r="H77" s="138"/>
      <c r="I77" s="138"/>
      <c r="J77" s="126"/>
      <c r="K77" s="83">
        <f t="shared" si="15"/>
        <v>0</v>
      </c>
      <c r="L77" s="83">
        <f t="shared" si="16"/>
        <v>0</v>
      </c>
      <c r="M77" s="83">
        <f t="shared" si="17"/>
        <v>0</v>
      </c>
      <c r="N77" s="83">
        <f t="shared" si="18"/>
        <v>0</v>
      </c>
      <c r="O77" s="83">
        <f t="shared" si="19"/>
        <v>0</v>
      </c>
      <c r="P77" s="83">
        <f t="shared" si="20"/>
        <v>0</v>
      </c>
      <c r="Q77" s="126"/>
      <c r="R77" s="126"/>
      <c r="S77" s="126"/>
    </row>
    <row r="78" spans="1:19" s="23" customFormat="1" ht="72" customHeight="1" x14ac:dyDescent="0.25">
      <c r="A78" s="31" t="s">
        <v>117</v>
      </c>
      <c r="B78" s="91"/>
      <c r="C78" s="207"/>
      <c r="D78" s="157">
        <v>131290.1</v>
      </c>
      <c r="E78" s="157">
        <v>1695.6</v>
      </c>
      <c r="F78" s="138">
        <v>156272.20000000001</v>
      </c>
      <c r="G78" s="138">
        <v>2018.2</v>
      </c>
      <c r="H78" s="138"/>
      <c r="I78" s="138"/>
      <c r="J78" s="126"/>
      <c r="K78" s="83">
        <f t="shared" si="15"/>
        <v>10645.143243243243</v>
      </c>
      <c r="L78" s="83">
        <f t="shared" si="16"/>
        <v>-8949.5432432432426</v>
      </c>
      <c r="M78" s="83">
        <f t="shared" si="17"/>
        <v>12670.718918918919</v>
      </c>
      <c r="N78" s="83">
        <f t="shared" si="18"/>
        <v>-10652.518918918919</v>
      </c>
      <c r="O78" s="83">
        <f t="shared" si="19"/>
        <v>0</v>
      </c>
      <c r="P78" s="83">
        <f t="shared" si="20"/>
        <v>0</v>
      </c>
      <c r="Q78" s="126"/>
      <c r="R78" s="126"/>
      <c r="S78" s="126"/>
    </row>
    <row r="79" spans="1:19" s="23" customFormat="1" ht="72" customHeight="1" x14ac:dyDescent="0.25">
      <c r="A79" s="31" t="s">
        <v>118</v>
      </c>
      <c r="B79" s="91"/>
      <c r="C79" s="207"/>
      <c r="D79" s="157">
        <f>953.2-235.2</f>
        <v>718</v>
      </c>
      <c r="E79" s="157">
        <v>77.3</v>
      </c>
      <c r="F79" s="138"/>
      <c r="G79" s="138"/>
      <c r="H79" s="138"/>
      <c r="I79" s="138"/>
      <c r="J79" s="126"/>
      <c r="K79" s="83">
        <f t="shared" si="15"/>
        <v>58.216216216216218</v>
      </c>
      <c r="L79" s="83">
        <f t="shared" si="16"/>
        <v>19.08378378378378</v>
      </c>
      <c r="M79" s="83">
        <f t="shared" si="17"/>
        <v>0</v>
      </c>
      <c r="N79" s="83">
        <f t="shared" si="18"/>
        <v>0</v>
      </c>
      <c r="O79" s="83">
        <f t="shared" si="19"/>
        <v>0</v>
      </c>
      <c r="P79" s="83">
        <f t="shared" si="20"/>
        <v>0</v>
      </c>
      <c r="Q79" s="126"/>
      <c r="R79" s="126"/>
      <c r="S79" s="126"/>
    </row>
    <row r="80" spans="1:19" s="23" customFormat="1" ht="118.5" customHeight="1" x14ac:dyDescent="0.25">
      <c r="A80" s="43" t="s">
        <v>126</v>
      </c>
      <c r="B80" s="91"/>
      <c r="C80" s="207"/>
      <c r="D80" s="157"/>
      <c r="E80" s="157">
        <f>838.9-838.9+451.6</f>
        <v>451.6</v>
      </c>
      <c r="F80" s="138"/>
      <c r="G80" s="138">
        <v>410.8</v>
      </c>
      <c r="H80" s="138"/>
      <c r="I80" s="138"/>
      <c r="J80" s="126"/>
      <c r="K80" s="83">
        <f t="shared" si="15"/>
        <v>0</v>
      </c>
      <c r="L80" s="83">
        <f t="shared" si="16"/>
        <v>451.6</v>
      </c>
      <c r="M80" s="83">
        <f t="shared" si="17"/>
        <v>0</v>
      </c>
      <c r="N80" s="83">
        <f t="shared" si="18"/>
        <v>410.8</v>
      </c>
      <c r="O80" s="83">
        <f t="shared" si="19"/>
        <v>0</v>
      </c>
      <c r="P80" s="83">
        <f t="shared" si="20"/>
        <v>0</v>
      </c>
      <c r="Q80" s="126"/>
      <c r="R80" s="126"/>
      <c r="S80" s="126"/>
    </row>
    <row r="81" spans="1:19" s="23" customFormat="1" ht="63" customHeight="1" x14ac:dyDescent="0.25">
      <c r="A81" s="43" t="s">
        <v>79</v>
      </c>
      <c r="B81" s="91"/>
      <c r="C81" s="207"/>
      <c r="D81" s="157">
        <v>36365.300000000003</v>
      </c>
      <c r="E81" s="157">
        <f>564-196.6</f>
        <v>367.4</v>
      </c>
      <c r="F81" s="138"/>
      <c r="G81" s="138"/>
      <c r="H81" s="138"/>
      <c r="I81" s="138"/>
      <c r="J81" s="126"/>
      <c r="K81" s="83">
        <f t="shared" si="15"/>
        <v>2948.5378378378377</v>
      </c>
      <c r="L81" s="83">
        <f t="shared" si="16"/>
        <v>-2581.1378378378377</v>
      </c>
      <c r="M81" s="83">
        <f t="shared" si="17"/>
        <v>0</v>
      </c>
      <c r="N81" s="83">
        <f t="shared" si="18"/>
        <v>0</v>
      </c>
      <c r="O81" s="83">
        <f t="shared" si="19"/>
        <v>0</v>
      </c>
      <c r="P81" s="83">
        <f t="shared" si="20"/>
        <v>0</v>
      </c>
      <c r="Q81" s="126"/>
      <c r="R81" s="126"/>
      <c r="S81" s="126"/>
    </row>
    <row r="82" spans="1:19" s="23" customFormat="1" ht="66" customHeight="1" x14ac:dyDescent="0.25">
      <c r="A82" s="186" t="s">
        <v>132</v>
      </c>
      <c r="B82" s="187">
        <v>17834.8</v>
      </c>
      <c r="C82" s="211" t="s">
        <v>132</v>
      </c>
      <c r="D82" s="187">
        <v>17834.8</v>
      </c>
      <c r="E82" s="157">
        <v>180.2</v>
      </c>
      <c r="F82" s="138"/>
      <c r="G82" s="138"/>
      <c r="H82" s="138"/>
      <c r="I82" s="138"/>
      <c r="J82" s="126"/>
      <c r="K82" s="83"/>
      <c r="L82" s="83"/>
      <c r="M82" s="83"/>
      <c r="N82" s="83"/>
      <c r="O82" s="83"/>
      <c r="P82" s="83"/>
      <c r="Q82" s="126"/>
      <c r="R82" s="126"/>
      <c r="S82" s="126"/>
    </row>
    <row r="83" spans="1:19" s="23" customFormat="1" ht="60.75" customHeight="1" x14ac:dyDescent="0.25">
      <c r="A83" s="186" t="s">
        <v>141</v>
      </c>
      <c r="B83" s="187"/>
      <c r="C83" s="211"/>
      <c r="D83" s="187"/>
      <c r="E83" s="157">
        <v>4642.3</v>
      </c>
      <c r="F83" s="138"/>
      <c r="G83" s="138"/>
      <c r="H83" s="138"/>
      <c r="I83" s="138"/>
      <c r="J83" s="126"/>
      <c r="K83" s="83"/>
      <c r="L83" s="83"/>
      <c r="M83" s="83"/>
      <c r="N83" s="83"/>
      <c r="O83" s="83"/>
      <c r="P83" s="83"/>
      <c r="Q83" s="126"/>
      <c r="R83" s="126"/>
      <c r="S83" s="126"/>
    </row>
    <row r="84" spans="1:19" s="23" customFormat="1" ht="82.5" customHeight="1" x14ac:dyDescent="0.25">
      <c r="A84" s="186" t="s">
        <v>142</v>
      </c>
      <c r="B84" s="187"/>
      <c r="C84" s="211"/>
      <c r="D84" s="187"/>
      <c r="E84" s="157">
        <v>224.4</v>
      </c>
      <c r="F84" s="138"/>
      <c r="G84" s="138">
        <f>1906</f>
        <v>1906</v>
      </c>
      <c r="H84" s="138"/>
      <c r="I84" s="138"/>
      <c r="J84" s="126"/>
      <c r="K84" s="83"/>
      <c r="L84" s="83"/>
      <c r="M84" s="83"/>
      <c r="N84" s="83"/>
      <c r="O84" s="83"/>
      <c r="P84" s="83"/>
      <c r="Q84" s="126"/>
      <c r="R84" s="126"/>
      <c r="S84" s="126"/>
    </row>
    <row r="85" spans="1:19" s="23" customFormat="1" ht="82.5" customHeight="1" x14ac:dyDescent="0.25">
      <c r="A85" s="186" t="s">
        <v>143</v>
      </c>
      <c r="B85" s="187"/>
      <c r="C85" s="211"/>
      <c r="D85" s="187"/>
      <c r="E85" s="157">
        <v>369.4</v>
      </c>
      <c r="F85" s="138"/>
      <c r="G85" s="138"/>
      <c r="H85" s="138"/>
      <c r="I85" s="138"/>
      <c r="J85" s="126"/>
      <c r="K85" s="83"/>
      <c r="L85" s="83"/>
      <c r="M85" s="83"/>
      <c r="N85" s="83"/>
      <c r="O85" s="83"/>
      <c r="P85" s="83"/>
      <c r="Q85" s="126"/>
      <c r="R85" s="126"/>
      <c r="S85" s="126"/>
    </row>
    <row r="86" spans="1:19" s="16" customFormat="1" ht="75" customHeight="1" x14ac:dyDescent="0.25">
      <c r="A86" s="189" t="s">
        <v>130</v>
      </c>
      <c r="B86" s="190">
        <v>10742.4</v>
      </c>
      <c r="C86" s="212" t="s">
        <v>130</v>
      </c>
      <c r="D86" s="29">
        <v>10742.4</v>
      </c>
      <c r="E86" s="154">
        <v>871</v>
      </c>
      <c r="F86" s="154">
        <v>4257.8</v>
      </c>
      <c r="G86" s="154">
        <v>345.3</v>
      </c>
      <c r="H86" s="154"/>
      <c r="I86" s="154"/>
      <c r="J86" s="83"/>
      <c r="K86" s="83"/>
      <c r="L86" s="83"/>
      <c r="M86" s="83"/>
      <c r="N86" s="83"/>
      <c r="O86" s="83"/>
      <c r="P86" s="83"/>
      <c r="Q86" s="83"/>
      <c r="R86" s="83"/>
      <c r="S86" s="83"/>
    </row>
    <row r="87" spans="1:19" s="16" customFormat="1" ht="75" customHeight="1" x14ac:dyDescent="0.25">
      <c r="A87" s="189" t="s">
        <v>150</v>
      </c>
      <c r="B87" s="190"/>
      <c r="C87" s="212"/>
      <c r="D87" s="29"/>
      <c r="E87" s="154"/>
      <c r="F87" s="154"/>
      <c r="G87" s="154">
        <v>2845.7</v>
      </c>
      <c r="H87" s="154"/>
      <c r="I87" s="154"/>
      <c r="J87" s="83"/>
      <c r="K87" s="83"/>
      <c r="L87" s="83"/>
      <c r="M87" s="83"/>
      <c r="N87" s="83"/>
      <c r="O87" s="83"/>
      <c r="P87" s="83"/>
      <c r="Q87" s="83"/>
      <c r="R87" s="83"/>
      <c r="S87" s="83"/>
    </row>
    <row r="88" spans="1:19" s="16" customFormat="1" ht="85.5" customHeight="1" x14ac:dyDescent="0.25">
      <c r="A88" s="189" t="s">
        <v>151</v>
      </c>
      <c r="B88" s="190"/>
      <c r="C88" s="212"/>
      <c r="D88" s="29"/>
      <c r="E88" s="154"/>
      <c r="F88" s="154"/>
      <c r="G88" s="154">
        <v>1158.5999999999999</v>
      </c>
      <c r="H88" s="154"/>
      <c r="I88" s="154"/>
      <c r="J88" s="83"/>
      <c r="K88" s="83"/>
      <c r="L88" s="83"/>
      <c r="M88" s="83"/>
      <c r="N88" s="83"/>
      <c r="O88" s="83"/>
      <c r="P88" s="83"/>
      <c r="Q88" s="83"/>
      <c r="R88" s="83"/>
      <c r="S88" s="83"/>
    </row>
    <row r="89" spans="1:19" s="16" customFormat="1" ht="95.25" customHeight="1" thickBot="1" x14ac:dyDescent="0.3">
      <c r="A89" s="189" t="s">
        <v>149</v>
      </c>
      <c r="B89" s="190"/>
      <c r="C89" s="212"/>
      <c r="D89" s="45"/>
      <c r="E89" s="139"/>
      <c r="F89" s="139"/>
      <c r="G89" s="139">
        <v>6131.3</v>
      </c>
      <c r="H89" s="139"/>
      <c r="I89" s="139"/>
      <c r="J89" s="83"/>
      <c r="K89" s="83"/>
      <c r="L89" s="83"/>
      <c r="M89" s="83"/>
      <c r="N89" s="83"/>
      <c r="O89" s="83"/>
      <c r="P89" s="83"/>
      <c r="Q89" s="83"/>
      <c r="R89" s="83"/>
      <c r="S89" s="83"/>
    </row>
    <row r="90" spans="1:19" s="23" customFormat="1" ht="13.5" customHeight="1" thickBot="1" x14ac:dyDescent="0.3">
      <c r="A90" s="21"/>
      <c r="B90" s="68"/>
      <c r="C90" s="68"/>
      <c r="D90" s="153"/>
      <c r="E90" s="153"/>
      <c r="F90" s="153"/>
      <c r="G90" s="153"/>
      <c r="H90" s="153"/>
      <c r="I90" s="153"/>
      <c r="J90" s="126"/>
      <c r="K90" s="126"/>
      <c r="L90" s="126"/>
      <c r="M90" s="126"/>
      <c r="N90" s="126"/>
      <c r="O90" s="126"/>
      <c r="P90" s="126"/>
      <c r="Q90" s="126"/>
      <c r="R90" s="126"/>
      <c r="S90" s="126"/>
    </row>
    <row r="91" spans="1:19" s="23" customFormat="1" ht="15" customHeight="1" thickBot="1" x14ac:dyDescent="0.3">
      <c r="B91" s="65"/>
      <c r="C91" s="65"/>
      <c r="D91" s="140"/>
      <c r="E91" s="140"/>
      <c r="F91" s="140"/>
      <c r="G91" s="140"/>
      <c r="H91" s="140"/>
      <c r="I91" s="140"/>
      <c r="J91" s="126"/>
      <c r="K91" s="126"/>
      <c r="L91" s="126"/>
      <c r="M91" s="126"/>
      <c r="N91" s="126"/>
      <c r="O91" s="126"/>
      <c r="P91" s="126"/>
      <c r="Q91" s="126"/>
      <c r="R91" s="126"/>
      <c r="S91" s="126"/>
    </row>
    <row r="92" spans="1:19" s="23" customFormat="1" ht="59.25" customHeight="1" x14ac:dyDescent="0.25">
      <c r="A92" s="12" t="s">
        <v>16</v>
      </c>
      <c r="B92" s="66"/>
      <c r="C92" s="66"/>
      <c r="D92" s="136">
        <f t="shared" ref="D92:I92" si="23">SUM(D93:D101)</f>
        <v>27143</v>
      </c>
      <c r="E92" s="136">
        <f t="shared" si="23"/>
        <v>1913.3000000000002</v>
      </c>
      <c r="F92" s="136">
        <f t="shared" si="23"/>
        <v>2088.1999999999998</v>
      </c>
      <c r="G92" s="136">
        <f t="shared" si="23"/>
        <v>149.4</v>
      </c>
      <c r="H92" s="136">
        <f t="shared" si="23"/>
        <v>781.1</v>
      </c>
      <c r="I92" s="136">
        <f t="shared" si="23"/>
        <v>43.300000000000004</v>
      </c>
      <c r="J92" s="126"/>
      <c r="K92" s="126"/>
      <c r="L92" s="126"/>
      <c r="M92" s="126"/>
      <c r="N92" s="126"/>
      <c r="O92" s="126"/>
      <c r="P92" s="126"/>
      <c r="Q92" s="126"/>
      <c r="R92" s="126"/>
      <c r="S92" s="126"/>
    </row>
    <row r="93" spans="1:19" s="23" customFormat="1" ht="80.25" customHeight="1" x14ac:dyDescent="0.25">
      <c r="A93" s="27" t="s">
        <v>17</v>
      </c>
      <c r="B93" s="71">
        <v>906</v>
      </c>
      <c r="C93" s="71" t="s">
        <v>55</v>
      </c>
      <c r="D93" s="154">
        <v>482.4</v>
      </c>
      <c r="E93" s="154">
        <v>39.200000000000003</v>
      </c>
      <c r="F93" s="154">
        <v>626.4</v>
      </c>
      <c r="G93" s="154">
        <v>50.8</v>
      </c>
      <c r="H93" s="154"/>
      <c r="I93" s="154"/>
      <c r="J93" s="126"/>
      <c r="K93" s="83">
        <f t="shared" ref="K93:K99" si="24">D93*7.5/92.5</f>
        <v>39.11351351351351</v>
      </c>
      <c r="L93" s="83">
        <f t="shared" ref="L93:L99" si="25">E93-K93</f>
        <v>8.6486486486492709E-2</v>
      </c>
      <c r="M93" s="83">
        <f t="shared" ref="M93:M99" si="26">F93*7.5/92.5</f>
        <v>50.789189189189187</v>
      </c>
      <c r="N93" s="83">
        <f t="shared" ref="N93:N99" si="27">G93-M93</f>
        <v>1.0810810810809812E-2</v>
      </c>
      <c r="O93" s="83">
        <f t="shared" ref="O93:O99" si="28">H93*7.5/92.5</f>
        <v>0</v>
      </c>
      <c r="P93" s="83">
        <f t="shared" ref="P93:P99" si="29">I93-O93</f>
        <v>0</v>
      </c>
      <c r="Q93" s="126"/>
      <c r="R93" s="126"/>
      <c r="S93" s="126"/>
    </row>
    <row r="94" spans="1:19" s="23" customFormat="1" ht="80.25" hidden="1" customHeight="1" x14ac:dyDescent="0.25">
      <c r="A94" s="27" t="s">
        <v>64</v>
      </c>
      <c r="B94" s="71"/>
      <c r="C94" s="71"/>
      <c r="D94" s="154"/>
      <c r="E94" s="154"/>
      <c r="F94" s="154"/>
      <c r="G94" s="154"/>
      <c r="H94" s="154"/>
      <c r="I94" s="154"/>
      <c r="J94" s="126"/>
      <c r="K94" s="83">
        <f t="shared" si="24"/>
        <v>0</v>
      </c>
      <c r="L94" s="83">
        <f t="shared" si="25"/>
        <v>0</v>
      </c>
      <c r="M94" s="83">
        <f t="shared" si="26"/>
        <v>0</v>
      </c>
      <c r="N94" s="83">
        <f t="shared" si="27"/>
        <v>0</v>
      </c>
      <c r="O94" s="83">
        <f t="shared" si="28"/>
        <v>0</v>
      </c>
      <c r="P94" s="83">
        <f t="shared" si="29"/>
        <v>0</v>
      </c>
      <c r="Q94" s="126"/>
      <c r="R94" s="126"/>
      <c r="S94" s="126"/>
    </row>
    <row r="95" spans="1:19" s="23" customFormat="1" ht="57.75" customHeight="1" x14ac:dyDescent="0.25">
      <c r="A95" s="27" t="s">
        <v>18</v>
      </c>
      <c r="B95" s="71">
        <v>906</v>
      </c>
      <c r="C95" s="71" t="s">
        <v>49</v>
      </c>
      <c r="D95" s="154">
        <v>481.6</v>
      </c>
      <c r="E95" s="154">
        <v>39.1</v>
      </c>
      <c r="F95" s="154">
        <v>481.6</v>
      </c>
      <c r="G95" s="154">
        <v>39.1</v>
      </c>
      <c r="H95" s="154">
        <v>481.6</v>
      </c>
      <c r="I95" s="154">
        <v>39.1</v>
      </c>
      <c r="J95" s="126"/>
      <c r="K95" s="83">
        <f t="shared" si="24"/>
        <v>39.048648648648651</v>
      </c>
      <c r="L95" s="83">
        <f t="shared" si="25"/>
        <v>5.1351351351350161E-2</v>
      </c>
      <c r="M95" s="83">
        <f t="shared" si="26"/>
        <v>39.048648648648651</v>
      </c>
      <c r="N95" s="83">
        <f t="shared" si="27"/>
        <v>5.1351351351350161E-2</v>
      </c>
      <c r="O95" s="83">
        <f t="shared" si="28"/>
        <v>39.048648648648651</v>
      </c>
      <c r="P95" s="83">
        <f t="shared" si="29"/>
        <v>5.1351351351350161E-2</v>
      </c>
      <c r="Q95" s="126"/>
      <c r="R95" s="126"/>
      <c r="S95" s="126"/>
    </row>
    <row r="96" spans="1:19" s="23" customFormat="1" ht="80.25" customHeight="1" x14ac:dyDescent="0.25">
      <c r="A96" s="31" t="s">
        <v>17</v>
      </c>
      <c r="B96" s="73"/>
      <c r="C96" s="73"/>
      <c r="D96" s="138">
        <f>328.1+31.4</f>
        <v>359.5</v>
      </c>
      <c r="E96" s="138">
        <v>5.0999999999999996</v>
      </c>
      <c r="F96" s="138">
        <f>328.1-28.9</f>
        <v>299.20000000000005</v>
      </c>
      <c r="G96" s="138">
        <v>4.2</v>
      </c>
      <c r="H96" s="138">
        <v>299.5</v>
      </c>
      <c r="I96" s="138">
        <v>4.2</v>
      </c>
      <c r="J96" s="126"/>
      <c r="K96" s="83">
        <f t="shared" si="24"/>
        <v>29.148648648648649</v>
      </c>
      <c r="L96" s="83">
        <f t="shared" si="25"/>
        <v>-24.048648648648651</v>
      </c>
      <c r="M96" s="83">
        <f t="shared" si="26"/>
        <v>24.259459459459464</v>
      </c>
      <c r="N96" s="83">
        <f t="shared" si="27"/>
        <v>-20.059459459459465</v>
      </c>
      <c r="O96" s="83">
        <f t="shared" si="28"/>
        <v>24.283783783783782</v>
      </c>
      <c r="P96" s="83">
        <f t="shared" si="29"/>
        <v>-20.083783783783783</v>
      </c>
      <c r="Q96" s="126"/>
      <c r="R96" s="126"/>
      <c r="S96" s="126"/>
    </row>
    <row r="97" spans="1:19" s="23" customFormat="1" ht="70.5" customHeight="1" x14ac:dyDescent="0.25">
      <c r="A97" s="31" t="s">
        <v>77</v>
      </c>
      <c r="B97" s="73">
        <v>906</v>
      </c>
      <c r="C97" s="73" t="s">
        <v>55</v>
      </c>
      <c r="D97" s="138">
        <f>486.4-138.7</f>
        <v>347.7</v>
      </c>
      <c r="E97" s="138">
        <v>39.5</v>
      </c>
      <c r="F97" s="138">
        <v>681</v>
      </c>
      <c r="G97" s="138">
        <v>55.3</v>
      </c>
      <c r="H97" s="138"/>
      <c r="I97" s="138"/>
      <c r="J97" s="126"/>
      <c r="K97" s="83">
        <f t="shared" si="24"/>
        <v>28.191891891891892</v>
      </c>
      <c r="L97" s="83">
        <f t="shared" si="25"/>
        <v>11.308108108108108</v>
      </c>
      <c r="M97" s="83">
        <f t="shared" si="26"/>
        <v>55.216216216216218</v>
      </c>
      <c r="N97" s="83">
        <f t="shared" si="27"/>
        <v>8.3783783783779597E-2</v>
      </c>
      <c r="O97" s="83">
        <f t="shared" si="28"/>
        <v>0</v>
      </c>
      <c r="P97" s="83">
        <f t="shared" si="29"/>
        <v>0</v>
      </c>
      <c r="Q97" s="126"/>
      <c r="R97" s="126"/>
      <c r="S97" s="126"/>
    </row>
    <row r="98" spans="1:19" s="23" customFormat="1" ht="70.5" customHeight="1" x14ac:dyDescent="0.25">
      <c r="A98" s="31" t="s">
        <v>111</v>
      </c>
      <c r="B98" s="73">
        <v>906</v>
      </c>
      <c r="C98" s="73" t="s">
        <v>55</v>
      </c>
      <c r="D98" s="138">
        <v>22010.6</v>
      </c>
      <c r="E98" s="138">
        <v>1784.7</v>
      </c>
      <c r="F98" s="138"/>
      <c r="G98" s="138"/>
      <c r="H98" s="138"/>
      <c r="I98" s="138"/>
      <c r="J98" s="126"/>
      <c r="K98" s="83">
        <f t="shared" si="24"/>
        <v>1784.6432432432432</v>
      </c>
      <c r="L98" s="83">
        <f t="shared" si="25"/>
        <v>5.6756756756840332E-2</v>
      </c>
      <c r="M98" s="83">
        <f t="shared" si="26"/>
        <v>0</v>
      </c>
      <c r="N98" s="83">
        <f t="shared" si="27"/>
        <v>0</v>
      </c>
      <c r="O98" s="83">
        <f t="shared" si="28"/>
        <v>0</v>
      </c>
      <c r="P98" s="83">
        <f t="shared" si="29"/>
        <v>0</v>
      </c>
      <c r="Q98" s="126"/>
      <c r="R98" s="126"/>
      <c r="S98" s="126"/>
    </row>
    <row r="99" spans="1:19" s="23" customFormat="1" ht="70.5" customHeight="1" x14ac:dyDescent="0.25">
      <c r="A99" s="31" t="s">
        <v>112</v>
      </c>
      <c r="B99" s="73"/>
      <c r="C99" s="73"/>
      <c r="D99" s="138">
        <v>3461.2</v>
      </c>
      <c r="E99" s="138">
        <v>5.7</v>
      </c>
      <c r="F99" s="138"/>
      <c r="G99" s="138"/>
      <c r="H99" s="138"/>
      <c r="I99" s="138"/>
      <c r="J99" s="126"/>
      <c r="K99" s="83">
        <f t="shared" si="24"/>
        <v>280.63783783783782</v>
      </c>
      <c r="L99" s="83">
        <f t="shared" si="25"/>
        <v>-274.93783783783783</v>
      </c>
      <c r="M99" s="83">
        <f t="shared" si="26"/>
        <v>0</v>
      </c>
      <c r="N99" s="83">
        <f t="shared" si="27"/>
        <v>0</v>
      </c>
      <c r="O99" s="83">
        <f t="shared" si="28"/>
        <v>0</v>
      </c>
      <c r="P99" s="83">
        <f t="shared" si="29"/>
        <v>0</v>
      </c>
      <c r="Q99" s="126"/>
      <c r="R99" s="126"/>
      <c r="S99" s="126"/>
    </row>
    <row r="100" spans="1:19" s="23" customFormat="1" ht="105" hidden="1" customHeight="1" x14ac:dyDescent="0.25">
      <c r="A100" s="43"/>
      <c r="B100" s="73"/>
      <c r="C100" s="73"/>
      <c r="D100" s="138"/>
      <c r="E100" s="138"/>
      <c r="F100" s="138"/>
      <c r="G100" s="138"/>
      <c r="H100" s="138"/>
      <c r="I100" s="138"/>
      <c r="J100" s="126"/>
      <c r="K100" s="126"/>
      <c r="L100" s="126"/>
      <c r="M100" s="126"/>
      <c r="N100" s="126"/>
      <c r="O100" s="126"/>
      <c r="P100" s="126"/>
      <c r="Q100" s="126"/>
      <c r="R100" s="126"/>
      <c r="S100" s="126"/>
    </row>
    <row r="101" spans="1:19" s="16" customFormat="1" ht="14.25" customHeight="1" thickBot="1" x14ac:dyDescent="0.3">
      <c r="A101" s="21"/>
      <c r="B101" s="68"/>
      <c r="C101" s="68"/>
      <c r="D101" s="139"/>
      <c r="E101" s="139"/>
      <c r="F101" s="139"/>
      <c r="G101" s="139"/>
      <c r="H101" s="139"/>
      <c r="I101" s="139"/>
      <c r="J101" s="83"/>
      <c r="K101" s="83"/>
      <c r="L101" s="83"/>
      <c r="M101" s="83"/>
      <c r="N101" s="83"/>
      <c r="O101" s="83"/>
      <c r="P101" s="83"/>
      <c r="Q101" s="83"/>
      <c r="R101" s="83"/>
      <c r="S101" s="83"/>
    </row>
    <row r="102" spans="1:19" s="16" customFormat="1" ht="13.5" thickBot="1" x14ac:dyDescent="0.3">
      <c r="A102" s="23"/>
      <c r="B102" s="65"/>
      <c r="C102" s="65"/>
      <c r="D102" s="140"/>
      <c r="E102" s="140"/>
      <c r="F102" s="140"/>
      <c r="G102" s="140"/>
      <c r="H102" s="140"/>
      <c r="I102" s="140"/>
      <c r="J102" s="83"/>
      <c r="K102" s="83"/>
      <c r="L102" s="83"/>
      <c r="M102" s="83"/>
      <c r="N102" s="83"/>
      <c r="O102" s="83"/>
      <c r="P102" s="83"/>
      <c r="Q102" s="83"/>
      <c r="R102" s="83"/>
      <c r="S102" s="83"/>
    </row>
    <row r="103" spans="1:19" s="23" customFormat="1" ht="59.25" hidden="1" customHeight="1" x14ac:dyDescent="0.25">
      <c r="A103" s="12" t="s">
        <v>19</v>
      </c>
      <c r="B103" s="66"/>
      <c r="C103" s="66"/>
      <c r="D103" s="136">
        <f t="shared" ref="D103:I103" si="30">SUM(D104:D105)</f>
        <v>0</v>
      </c>
      <c r="E103" s="136">
        <f t="shared" si="30"/>
        <v>0</v>
      </c>
      <c r="F103" s="136">
        <f>SUM(F104:F105)</f>
        <v>0</v>
      </c>
      <c r="G103" s="136">
        <f>SUM(G104:G105)</f>
        <v>0</v>
      </c>
      <c r="H103" s="136">
        <f t="shared" si="30"/>
        <v>0</v>
      </c>
      <c r="I103" s="136">
        <f t="shared" si="30"/>
        <v>0</v>
      </c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</row>
    <row r="104" spans="1:19" s="16" customFormat="1" ht="33.75" hidden="1" customHeight="1" x14ac:dyDescent="0.25">
      <c r="A104" s="27"/>
      <c r="B104" s="71"/>
      <c r="C104" s="71"/>
      <c r="D104" s="154"/>
      <c r="E104" s="154"/>
      <c r="F104" s="154"/>
      <c r="G104" s="154"/>
      <c r="H104" s="154"/>
      <c r="I104" s="154"/>
      <c r="J104" s="83"/>
      <c r="K104" s="83"/>
      <c r="L104" s="83"/>
      <c r="M104" s="83"/>
      <c r="N104" s="83"/>
      <c r="O104" s="83"/>
      <c r="P104" s="83"/>
      <c r="Q104" s="83"/>
      <c r="R104" s="83"/>
      <c r="S104" s="83"/>
    </row>
    <row r="105" spans="1:19" s="16" customFormat="1" ht="13.5" hidden="1" thickBot="1" x14ac:dyDescent="0.3">
      <c r="A105" s="21"/>
      <c r="B105" s="68"/>
      <c r="C105" s="68"/>
      <c r="D105" s="139"/>
      <c r="E105" s="139"/>
      <c r="F105" s="139"/>
      <c r="G105" s="139"/>
      <c r="H105" s="139"/>
      <c r="I105" s="139"/>
      <c r="J105" s="83"/>
      <c r="K105" s="83"/>
      <c r="L105" s="83"/>
      <c r="M105" s="83"/>
      <c r="N105" s="83"/>
      <c r="O105" s="83"/>
      <c r="P105" s="83"/>
      <c r="Q105" s="83"/>
      <c r="R105" s="83"/>
      <c r="S105" s="83"/>
    </row>
    <row r="106" spans="1:19" s="16" customFormat="1" ht="13.5" hidden="1" thickBot="1" x14ac:dyDescent="0.3">
      <c r="A106" s="23"/>
      <c r="B106" s="65"/>
      <c r="C106" s="65"/>
      <c r="D106" s="140"/>
      <c r="E106" s="140"/>
      <c r="F106" s="140"/>
      <c r="G106" s="140"/>
      <c r="H106" s="140"/>
      <c r="I106" s="140"/>
      <c r="J106" s="83"/>
      <c r="K106" s="83"/>
      <c r="L106" s="83"/>
      <c r="M106" s="83"/>
      <c r="N106" s="83"/>
      <c r="O106" s="83"/>
      <c r="P106" s="83"/>
      <c r="Q106" s="83"/>
      <c r="R106" s="83"/>
      <c r="S106" s="83"/>
    </row>
    <row r="107" spans="1:19" s="16" customFormat="1" ht="57.75" customHeight="1" x14ac:dyDescent="0.25">
      <c r="A107" s="12" t="s">
        <v>20</v>
      </c>
      <c r="B107" s="66"/>
      <c r="C107" s="66"/>
      <c r="D107" s="136">
        <f t="shared" ref="D107:I107" si="31">SUM(D108:D111)</f>
        <v>464.29999999999995</v>
      </c>
      <c r="E107" s="136">
        <f t="shared" si="31"/>
        <v>37.700000000000003</v>
      </c>
      <c r="F107" s="136">
        <f t="shared" si="31"/>
        <v>463.3</v>
      </c>
      <c r="G107" s="136">
        <f t="shared" si="31"/>
        <v>37.6</v>
      </c>
      <c r="H107" s="136">
        <f t="shared" si="31"/>
        <v>463.3</v>
      </c>
      <c r="I107" s="136">
        <f t="shared" si="31"/>
        <v>37.6</v>
      </c>
      <c r="J107" s="83"/>
      <c r="K107" s="83"/>
      <c r="L107" s="83"/>
      <c r="M107" s="83"/>
      <c r="N107" s="83"/>
      <c r="O107" s="83"/>
      <c r="P107" s="83"/>
      <c r="Q107" s="83"/>
      <c r="R107" s="83"/>
      <c r="S107" s="83"/>
    </row>
    <row r="108" spans="1:19" s="16" customFormat="1" ht="75" customHeight="1" x14ac:dyDescent="0.25">
      <c r="A108" s="27" t="s">
        <v>21</v>
      </c>
      <c r="B108" s="71">
        <v>913</v>
      </c>
      <c r="C108" s="71" t="s">
        <v>57</v>
      </c>
      <c r="D108" s="154">
        <f>450.4+13.9</f>
        <v>464.29999999999995</v>
      </c>
      <c r="E108" s="154">
        <v>37.700000000000003</v>
      </c>
      <c r="F108" s="154">
        <f>449.5+13.8</f>
        <v>463.3</v>
      </c>
      <c r="G108" s="154">
        <v>37.6</v>
      </c>
      <c r="H108" s="154">
        <f>449.5+13.8</f>
        <v>463.3</v>
      </c>
      <c r="I108" s="154">
        <v>37.6</v>
      </c>
      <c r="J108" s="83"/>
      <c r="K108" s="83">
        <f>D108*7.5/92.5</f>
        <v>37.64594594594594</v>
      </c>
      <c r="L108" s="83">
        <f>E108-K108</f>
        <v>5.4054054054063272E-2</v>
      </c>
      <c r="M108" s="83">
        <f>F108*7.5/92.5</f>
        <v>37.564864864864866</v>
      </c>
      <c r="N108" s="83">
        <f>G108-M108</f>
        <v>3.5135135135135442E-2</v>
      </c>
      <c r="O108" s="83">
        <f>H108*7.5/92.5</f>
        <v>37.564864864864866</v>
      </c>
      <c r="P108" s="83">
        <f>I108-O108</f>
        <v>3.5135135135135442E-2</v>
      </c>
      <c r="Q108" s="83"/>
      <c r="R108" s="83"/>
      <c r="S108" s="83"/>
    </row>
    <row r="109" spans="1:19" s="16" customFormat="1" ht="75" hidden="1" customHeight="1" x14ac:dyDescent="0.25">
      <c r="A109" s="189"/>
      <c r="B109" s="190"/>
      <c r="C109" s="189"/>
      <c r="D109" s="190"/>
      <c r="E109" s="188"/>
      <c r="F109" s="138"/>
      <c r="G109" s="138"/>
      <c r="H109" s="138"/>
      <c r="I109" s="138"/>
      <c r="J109" s="83"/>
      <c r="K109" s="83"/>
      <c r="L109" s="83"/>
      <c r="M109" s="83"/>
      <c r="N109" s="83"/>
      <c r="O109" s="83"/>
      <c r="P109" s="83"/>
      <c r="Q109" s="83"/>
      <c r="R109" s="83"/>
      <c r="S109" s="83"/>
    </row>
    <row r="110" spans="1:19" s="16" customFormat="1" ht="75" hidden="1" customHeight="1" x14ac:dyDescent="0.25">
      <c r="A110" s="189"/>
      <c r="B110" s="190"/>
      <c r="C110" s="189"/>
      <c r="D110" s="190"/>
      <c r="E110" s="188"/>
      <c r="F110" s="138"/>
      <c r="G110" s="138"/>
      <c r="H110" s="138"/>
      <c r="I110" s="138"/>
      <c r="J110" s="83"/>
      <c r="K110" s="83"/>
      <c r="L110" s="83"/>
      <c r="M110" s="83"/>
      <c r="N110" s="83"/>
      <c r="O110" s="83"/>
      <c r="P110" s="83"/>
      <c r="Q110" s="83"/>
      <c r="R110" s="83"/>
      <c r="S110" s="83"/>
    </row>
    <row r="111" spans="1:19" s="16" customFormat="1" ht="15.75" hidden="1" customHeight="1" thickBot="1" x14ac:dyDescent="0.3">
      <c r="A111" s="32"/>
      <c r="B111" s="74"/>
      <c r="C111" s="74"/>
      <c r="D111" s="164"/>
      <c r="E111" s="164"/>
      <c r="F111" s="164"/>
      <c r="G111" s="164"/>
      <c r="H111" s="164"/>
      <c r="I111" s="164"/>
      <c r="J111" s="83"/>
      <c r="K111" s="83"/>
      <c r="L111" s="83"/>
      <c r="M111" s="83"/>
      <c r="N111" s="83"/>
      <c r="O111" s="83"/>
      <c r="P111" s="83"/>
      <c r="Q111" s="83"/>
      <c r="R111" s="83"/>
      <c r="S111" s="83"/>
    </row>
    <row r="112" spans="1:19" s="16" customFormat="1" ht="15.75" customHeight="1" thickBot="1" x14ac:dyDescent="0.3">
      <c r="A112" s="14"/>
      <c r="B112" s="63"/>
      <c r="C112" s="63"/>
      <c r="D112" s="135"/>
      <c r="E112" s="135"/>
      <c r="F112" s="135"/>
      <c r="G112" s="135"/>
      <c r="H112" s="135"/>
      <c r="I112" s="135"/>
      <c r="J112" s="83"/>
      <c r="K112" s="83"/>
      <c r="L112" s="83"/>
      <c r="M112" s="83"/>
      <c r="N112" s="83"/>
      <c r="O112" s="83"/>
      <c r="P112" s="83"/>
      <c r="Q112" s="83"/>
      <c r="R112" s="83"/>
      <c r="S112" s="83"/>
    </row>
    <row r="113" spans="1:19" s="37" customFormat="1" ht="21" customHeight="1" thickBot="1" x14ac:dyDescent="0.3">
      <c r="A113" s="34" t="s">
        <v>23</v>
      </c>
      <c r="B113" s="75"/>
      <c r="C113" s="75"/>
      <c r="D113" s="165">
        <f t="shared" ref="D113:I113" si="32">SUM(D14,D18,D42,D92,D103,D107)</f>
        <v>501388.89999999997</v>
      </c>
      <c r="E113" s="165">
        <f t="shared" si="32"/>
        <v>30928</v>
      </c>
      <c r="F113" s="165">
        <f t="shared" si="32"/>
        <v>340819.5</v>
      </c>
      <c r="G113" s="165">
        <f t="shared" si="32"/>
        <v>28545.300000000003</v>
      </c>
      <c r="H113" s="165">
        <f t="shared" si="32"/>
        <v>408493.7</v>
      </c>
      <c r="I113" s="165">
        <f t="shared" si="32"/>
        <v>22525.1</v>
      </c>
      <c r="J113" s="127"/>
      <c r="K113" s="127"/>
      <c r="L113" s="127"/>
      <c r="M113" s="127"/>
      <c r="N113" s="127"/>
      <c r="O113" s="127"/>
      <c r="P113" s="127"/>
      <c r="Q113" s="127"/>
      <c r="R113" s="127"/>
      <c r="S113" s="127"/>
    </row>
    <row r="114" spans="1:19" s="37" customFormat="1" ht="21" customHeight="1" thickBot="1" x14ac:dyDescent="0.3">
      <c r="A114" s="38"/>
      <c r="B114" s="76"/>
      <c r="C114" s="76"/>
      <c r="D114" s="166"/>
      <c r="E114" s="166"/>
      <c r="F114" s="166"/>
      <c r="G114" s="166"/>
      <c r="H114" s="166"/>
      <c r="I114" s="166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</row>
    <row r="115" spans="1:19" s="37" customFormat="1" ht="39" customHeight="1" x14ac:dyDescent="0.25">
      <c r="A115" s="12" t="s">
        <v>24</v>
      </c>
      <c r="B115" s="66"/>
      <c r="C115" s="66"/>
      <c r="D115" s="136">
        <f t="shared" ref="D115:I115" si="33">SUM(D116:D120)</f>
        <v>2000</v>
      </c>
      <c r="E115" s="136">
        <f t="shared" si="33"/>
        <v>0</v>
      </c>
      <c r="F115" s="136">
        <f t="shared" si="33"/>
        <v>0</v>
      </c>
      <c r="G115" s="136">
        <f t="shared" si="33"/>
        <v>0</v>
      </c>
      <c r="H115" s="136">
        <f t="shared" si="33"/>
        <v>0</v>
      </c>
      <c r="I115" s="136">
        <f t="shared" si="33"/>
        <v>0</v>
      </c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</row>
    <row r="116" spans="1:19" s="23" customFormat="1" ht="93" hidden="1" customHeight="1" x14ac:dyDescent="0.25">
      <c r="A116" s="43" t="s">
        <v>82</v>
      </c>
      <c r="B116" s="73">
        <v>904</v>
      </c>
      <c r="C116" s="73" t="s">
        <v>55</v>
      </c>
      <c r="D116" s="138">
        <f>29951.4-29951.4</f>
        <v>0</v>
      </c>
      <c r="E116" s="138"/>
      <c r="F116" s="138"/>
      <c r="G116" s="138"/>
      <c r="H116" s="138"/>
      <c r="I116" s="138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</row>
    <row r="117" spans="1:19" s="23" customFormat="1" ht="99.75" hidden="1" customHeight="1" x14ac:dyDescent="0.25">
      <c r="A117" s="43" t="s">
        <v>25</v>
      </c>
      <c r="B117" s="73"/>
      <c r="C117" s="73"/>
      <c r="D117" s="138"/>
      <c r="E117" s="138"/>
      <c r="F117" s="138"/>
      <c r="G117" s="138"/>
      <c r="H117" s="138"/>
      <c r="I117" s="138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</row>
    <row r="118" spans="1:19" s="23" customFormat="1" ht="99.75" customHeight="1" x14ac:dyDescent="0.25">
      <c r="A118" s="186" t="s">
        <v>131</v>
      </c>
      <c r="B118" s="187">
        <v>2000</v>
      </c>
      <c r="C118" s="186" t="s">
        <v>131</v>
      </c>
      <c r="D118" s="187">
        <v>2000</v>
      </c>
      <c r="E118" s="138"/>
      <c r="F118" s="138"/>
      <c r="G118" s="138"/>
      <c r="H118" s="138"/>
      <c r="I118" s="138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s="23" customFormat="1" ht="75.75" hidden="1" customHeight="1" x14ac:dyDescent="0.25">
      <c r="A119" s="43"/>
      <c r="B119" s="73"/>
      <c r="C119" s="73"/>
      <c r="D119" s="138"/>
      <c r="E119" s="138"/>
      <c r="F119" s="138"/>
      <c r="G119" s="138"/>
      <c r="H119" s="138"/>
      <c r="I119" s="138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</row>
    <row r="120" spans="1:19" s="37" customFormat="1" ht="13.5" thickBot="1" x14ac:dyDescent="0.3">
      <c r="A120" s="21"/>
      <c r="B120" s="68"/>
      <c r="C120" s="68"/>
      <c r="D120" s="139"/>
      <c r="E120" s="139"/>
      <c r="F120" s="139"/>
      <c r="G120" s="139"/>
      <c r="H120" s="139"/>
      <c r="I120" s="139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</row>
    <row r="121" spans="1:19" s="37" customFormat="1" ht="13.5" customHeight="1" thickBot="1" x14ac:dyDescent="0.3">
      <c r="A121" s="40"/>
      <c r="B121" s="76"/>
      <c r="C121" s="76"/>
      <c r="D121" s="167"/>
      <c r="E121" s="167"/>
      <c r="F121" s="167"/>
      <c r="G121" s="167"/>
      <c r="H121" s="167"/>
      <c r="I121" s="16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</row>
    <row r="122" spans="1:19" s="37" customFormat="1" ht="30.75" hidden="1" customHeight="1" x14ac:dyDescent="0.25">
      <c r="A122" s="12" t="s">
        <v>26</v>
      </c>
      <c r="B122" s="66"/>
      <c r="C122" s="66"/>
      <c r="D122" s="136">
        <f t="shared" ref="D122:I122" si="34">SUM(D123:D126)</f>
        <v>0</v>
      </c>
      <c r="E122" s="136">
        <f t="shared" si="34"/>
        <v>0</v>
      </c>
      <c r="F122" s="136">
        <f t="shared" si="34"/>
        <v>0</v>
      </c>
      <c r="G122" s="136">
        <f t="shared" si="34"/>
        <v>0</v>
      </c>
      <c r="H122" s="136">
        <f t="shared" si="34"/>
        <v>0</v>
      </c>
      <c r="I122" s="136">
        <f t="shared" si="34"/>
        <v>0</v>
      </c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</row>
    <row r="123" spans="1:19" s="23" customFormat="1" ht="120" hidden="1" customHeight="1" x14ac:dyDescent="0.25">
      <c r="A123" s="43" t="s">
        <v>27</v>
      </c>
      <c r="B123" s="73"/>
      <c r="C123" s="73"/>
      <c r="D123" s="138">
        <v>0</v>
      </c>
      <c r="E123" s="138"/>
      <c r="F123" s="138"/>
      <c r="G123" s="138"/>
      <c r="H123" s="138"/>
      <c r="I123" s="138"/>
      <c r="J123" s="126"/>
      <c r="K123" s="126"/>
      <c r="L123" s="126"/>
      <c r="M123" s="126"/>
      <c r="N123" s="126"/>
      <c r="O123" s="126"/>
      <c r="P123" s="126"/>
      <c r="Q123" s="126"/>
      <c r="R123" s="126"/>
      <c r="S123" s="126"/>
    </row>
    <row r="124" spans="1:19" s="23" customFormat="1" ht="72.75" hidden="1" customHeight="1" x14ac:dyDescent="0.25">
      <c r="A124" s="43" t="s">
        <v>70</v>
      </c>
      <c r="B124" s="73"/>
      <c r="C124" s="73"/>
      <c r="D124" s="138"/>
      <c r="E124" s="138"/>
      <c r="F124" s="138"/>
      <c r="G124" s="138"/>
      <c r="H124" s="138"/>
      <c r="I124" s="138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</row>
    <row r="125" spans="1:19" s="23" customFormat="1" ht="72.75" hidden="1" customHeight="1" x14ac:dyDescent="0.25">
      <c r="A125" s="43" t="s">
        <v>62</v>
      </c>
      <c r="B125" s="73"/>
      <c r="C125" s="73"/>
      <c r="D125" s="138"/>
      <c r="E125" s="138"/>
      <c r="F125" s="138"/>
      <c r="G125" s="138"/>
      <c r="H125" s="138"/>
      <c r="I125" s="138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</row>
    <row r="126" spans="1:19" s="37" customFormat="1" ht="15" hidden="1" customHeight="1" thickBot="1" x14ac:dyDescent="0.3">
      <c r="A126" s="21"/>
      <c r="B126" s="68"/>
      <c r="C126" s="68"/>
      <c r="D126" s="168"/>
      <c r="E126" s="168"/>
      <c r="F126" s="168"/>
      <c r="G126" s="168"/>
      <c r="H126" s="168"/>
      <c r="I126" s="168"/>
      <c r="J126" s="127"/>
      <c r="K126" s="127"/>
      <c r="L126" s="127"/>
      <c r="M126" s="127"/>
      <c r="N126" s="127"/>
      <c r="O126" s="127"/>
      <c r="P126" s="127"/>
      <c r="Q126" s="127"/>
      <c r="R126" s="127"/>
      <c r="S126" s="127"/>
    </row>
    <row r="127" spans="1:19" s="37" customFormat="1" ht="15.75" hidden="1" customHeight="1" thickBot="1" x14ac:dyDescent="0.3">
      <c r="A127" s="23"/>
      <c r="B127" s="65"/>
      <c r="C127" s="65"/>
      <c r="D127" s="167"/>
      <c r="E127" s="167"/>
      <c r="F127" s="167"/>
      <c r="G127" s="167"/>
      <c r="H127" s="167"/>
      <c r="I127" s="167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</row>
    <row r="128" spans="1:19" s="37" customFormat="1" ht="31.5" customHeight="1" thickBot="1" x14ac:dyDescent="0.3">
      <c r="A128" s="114" t="s">
        <v>28</v>
      </c>
      <c r="B128" s="111"/>
      <c r="C128" s="111"/>
      <c r="D128" s="169">
        <f t="shared" ref="D128:I128" si="35">SUM(D129:D130)</f>
        <v>1030.4000000000001</v>
      </c>
      <c r="E128" s="169">
        <f t="shared" si="35"/>
        <v>0</v>
      </c>
      <c r="F128" s="169">
        <f t="shared" si="35"/>
        <v>0</v>
      </c>
      <c r="G128" s="169">
        <f t="shared" si="35"/>
        <v>0</v>
      </c>
      <c r="H128" s="169">
        <f t="shared" si="35"/>
        <v>0</v>
      </c>
      <c r="I128" s="169">
        <f t="shared" si="35"/>
        <v>0</v>
      </c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</row>
    <row r="129" spans="1:19" s="37" customFormat="1" ht="63" customHeight="1" x14ac:dyDescent="0.25">
      <c r="A129" s="186" t="s">
        <v>136</v>
      </c>
      <c r="B129" s="187">
        <v>1030.4000000000001</v>
      </c>
      <c r="C129" s="186" t="s">
        <v>136</v>
      </c>
      <c r="D129" s="187">
        <v>1030.4000000000001</v>
      </c>
      <c r="E129" s="171"/>
      <c r="F129" s="171"/>
      <c r="G129" s="171"/>
      <c r="H129" s="171"/>
      <c r="I129" s="172"/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</row>
    <row r="130" spans="1:19" s="37" customFormat="1" ht="15" customHeight="1" thickBot="1" x14ac:dyDescent="0.3">
      <c r="A130" s="103"/>
      <c r="B130" s="104"/>
      <c r="C130" s="104"/>
      <c r="D130" s="173"/>
      <c r="E130" s="173"/>
      <c r="F130" s="173"/>
      <c r="G130" s="173"/>
      <c r="H130" s="173"/>
      <c r="I130" s="174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</row>
    <row r="131" spans="1:19" s="37" customFormat="1" ht="13.5" customHeight="1" x14ac:dyDescent="0.25">
      <c r="A131" s="38"/>
      <c r="B131" s="76"/>
      <c r="C131" s="76"/>
      <c r="D131" s="166"/>
      <c r="E131" s="166"/>
      <c r="F131" s="166"/>
      <c r="G131" s="166"/>
      <c r="H131" s="166"/>
      <c r="I131" s="166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</row>
    <row r="132" spans="1:19" s="14" customFormat="1" ht="33.75" hidden="1" customHeight="1" x14ac:dyDescent="0.25">
      <c r="A132" s="42" t="s">
        <v>28</v>
      </c>
      <c r="B132" s="66"/>
      <c r="C132" s="66"/>
      <c r="D132" s="136">
        <f t="shared" ref="D132:I132" si="36">SUM(D133:D135)</f>
        <v>0</v>
      </c>
      <c r="E132" s="136">
        <f t="shared" si="36"/>
        <v>0</v>
      </c>
      <c r="F132" s="136"/>
      <c r="G132" s="136">
        <f t="shared" si="36"/>
        <v>0</v>
      </c>
      <c r="H132" s="136">
        <f t="shared" si="36"/>
        <v>0</v>
      </c>
      <c r="I132" s="136">
        <f t="shared" si="36"/>
        <v>0</v>
      </c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</row>
    <row r="133" spans="1:19" s="23" customFormat="1" ht="57" hidden="1" customHeight="1" x14ac:dyDescent="0.25">
      <c r="B133" s="73"/>
      <c r="C133" s="73"/>
      <c r="D133" s="138"/>
      <c r="E133" s="138"/>
      <c r="F133" s="175"/>
      <c r="G133" s="138"/>
      <c r="H133" s="138"/>
      <c r="I133" s="138"/>
      <c r="J133" s="126"/>
      <c r="K133" s="126"/>
      <c r="L133" s="126"/>
      <c r="M133" s="126"/>
      <c r="N133" s="126"/>
      <c r="O133" s="126"/>
      <c r="P133" s="126"/>
      <c r="Q133" s="126"/>
      <c r="R133" s="126"/>
      <c r="S133" s="126"/>
    </row>
    <row r="134" spans="1:19" s="23" customFormat="1" ht="60.75" hidden="1" customHeight="1" x14ac:dyDescent="0.25">
      <c r="B134" s="73"/>
      <c r="C134" s="73"/>
      <c r="D134" s="138"/>
      <c r="E134" s="138"/>
      <c r="F134" s="175"/>
      <c r="G134" s="138"/>
      <c r="H134" s="138"/>
      <c r="I134" s="138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</row>
    <row r="135" spans="1:19" s="18" customFormat="1" ht="12" hidden="1" customHeight="1" thickBot="1" x14ac:dyDescent="0.3">
      <c r="A135" s="44"/>
      <c r="B135" s="77"/>
      <c r="C135" s="77"/>
      <c r="D135" s="176"/>
      <c r="E135" s="176"/>
      <c r="F135" s="176"/>
      <c r="G135" s="176"/>
      <c r="H135" s="176"/>
      <c r="I135" s="176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</row>
    <row r="136" spans="1:19" s="18" customFormat="1" ht="13.5" thickBot="1" x14ac:dyDescent="0.3">
      <c r="A136" s="46"/>
      <c r="B136" s="78"/>
      <c r="C136" s="78"/>
      <c r="D136" s="177"/>
      <c r="E136" s="177"/>
      <c r="F136" s="177"/>
      <c r="G136" s="177"/>
      <c r="H136" s="177"/>
      <c r="I136" s="177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</row>
    <row r="137" spans="1:19" s="14" customFormat="1" ht="30.75" customHeight="1" x14ac:dyDescent="0.25">
      <c r="A137" s="42" t="s">
        <v>29</v>
      </c>
      <c r="B137" s="66"/>
      <c r="C137" s="66"/>
      <c r="D137" s="136">
        <f t="shared" ref="D137:I137" si="37">SUM(D138:D146)</f>
        <v>30654.7</v>
      </c>
      <c r="E137" s="136">
        <f>SUM(E138:E146)</f>
        <v>3782.7999999999997</v>
      </c>
      <c r="F137" s="136">
        <f t="shared" si="37"/>
        <v>91.5</v>
      </c>
      <c r="G137" s="136">
        <f t="shared" si="37"/>
        <v>0</v>
      </c>
      <c r="H137" s="136">
        <f t="shared" si="37"/>
        <v>46414.8</v>
      </c>
      <c r="I137" s="136">
        <f t="shared" si="37"/>
        <v>0</v>
      </c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</row>
    <row r="138" spans="1:19" s="23" customFormat="1" ht="56.25" customHeight="1" x14ac:dyDescent="0.25">
      <c r="A138" s="28" t="s">
        <v>15</v>
      </c>
      <c r="B138" s="67">
        <v>904</v>
      </c>
      <c r="C138" s="67" t="s">
        <v>53</v>
      </c>
      <c r="D138" s="143">
        <f>91.5+29.7</f>
        <v>121.2</v>
      </c>
      <c r="E138" s="143"/>
      <c r="F138" s="143">
        <v>91.5</v>
      </c>
      <c r="G138" s="143"/>
      <c r="H138" s="143">
        <v>91.5</v>
      </c>
      <c r="I138" s="143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</row>
    <row r="139" spans="1:19" s="16" customFormat="1" ht="61.5" hidden="1" customHeight="1" x14ac:dyDescent="0.25">
      <c r="A139" s="43" t="s">
        <v>71</v>
      </c>
      <c r="B139" s="73"/>
      <c r="C139" s="73"/>
      <c r="D139" s="138"/>
      <c r="E139" s="138"/>
      <c r="F139" s="138"/>
      <c r="G139" s="138"/>
      <c r="H139" s="138"/>
      <c r="I139" s="138"/>
      <c r="J139" s="83"/>
      <c r="K139" s="83"/>
      <c r="L139" s="83"/>
      <c r="M139" s="83"/>
      <c r="N139" s="83"/>
      <c r="O139" s="83"/>
      <c r="P139" s="83"/>
      <c r="Q139" s="83"/>
      <c r="R139" s="83"/>
      <c r="S139" s="83"/>
    </row>
    <row r="140" spans="1:19" s="16" customFormat="1" ht="63.75" hidden="1" customHeight="1" x14ac:dyDescent="0.25">
      <c r="A140" s="43" t="s">
        <v>72</v>
      </c>
      <c r="B140" s="73"/>
      <c r="C140" s="73"/>
      <c r="D140" s="138"/>
      <c r="E140" s="138"/>
      <c r="F140" s="138"/>
      <c r="G140" s="138"/>
      <c r="H140" s="138"/>
      <c r="I140" s="138"/>
      <c r="J140" s="83"/>
      <c r="K140" s="83"/>
      <c r="L140" s="83"/>
      <c r="M140" s="83"/>
      <c r="N140" s="83"/>
      <c r="O140" s="83"/>
      <c r="P140" s="83"/>
      <c r="Q140" s="83"/>
      <c r="R140" s="83"/>
      <c r="S140" s="83"/>
    </row>
    <row r="141" spans="1:19" s="16" customFormat="1" ht="89.25" hidden="1" customHeight="1" x14ac:dyDescent="0.25">
      <c r="A141" s="88" t="s">
        <v>61</v>
      </c>
      <c r="B141" s="73"/>
      <c r="C141" s="73"/>
      <c r="D141" s="138"/>
      <c r="E141" s="138"/>
      <c r="F141" s="138"/>
      <c r="G141" s="138"/>
      <c r="H141" s="138"/>
      <c r="I141" s="138"/>
      <c r="J141" s="83"/>
      <c r="K141" s="83"/>
      <c r="L141" s="83"/>
      <c r="M141" s="83"/>
      <c r="N141" s="83"/>
      <c r="O141" s="83"/>
      <c r="P141" s="83"/>
      <c r="Q141" s="83"/>
      <c r="R141" s="83"/>
      <c r="S141" s="83"/>
    </row>
    <row r="142" spans="1:19" s="16" customFormat="1" ht="82.5" customHeight="1" x14ac:dyDescent="0.25">
      <c r="A142" s="88" t="s">
        <v>119</v>
      </c>
      <c r="B142" s="73"/>
      <c r="C142" s="73"/>
      <c r="D142" s="138">
        <v>4582.1000000000004</v>
      </c>
      <c r="E142" s="138">
        <f>1361-989.4</f>
        <v>371.6</v>
      </c>
      <c r="F142" s="138"/>
      <c r="G142" s="138"/>
      <c r="H142" s="138"/>
      <c r="I142" s="138"/>
      <c r="J142" s="83"/>
      <c r="K142" s="83"/>
      <c r="L142" s="83"/>
      <c r="M142" s="83"/>
      <c r="N142" s="83"/>
      <c r="O142" s="83"/>
      <c r="P142" s="83"/>
      <c r="Q142" s="83"/>
      <c r="R142" s="83"/>
      <c r="S142" s="83"/>
    </row>
    <row r="143" spans="1:19" s="16" customFormat="1" ht="82.5" customHeight="1" x14ac:dyDescent="0.25">
      <c r="A143" s="88" t="s">
        <v>124</v>
      </c>
      <c r="B143" s="73"/>
      <c r="C143" s="73"/>
      <c r="D143" s="138"/>
      <c r="E143" s="138"/>
      <c r="F143" s="138"/>
      <c r="G143" s="138"/>
      <c r="H143" s="183">
        <v>46323.3</v>
      </c>
      <c r="I143" s="138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6" customFormat="1" ht="82.5" customHeight="1" x14ac:dyDescent="0.25">
      <c r="A144" s="186" t="s">
        <v>129</v>
      </c>
      <c r="B144" s="187">
        <v>25951.4</v>
      </c>
      <c r="C144" s="186" t="s">
        <v>129</v>
      </c>
      <c r="D144" s="187">
        <v>25951.4</v>
      </c>
      <c r="E144" s="138"/>
      <c r="F144" s="138"/>
      <c r="G144" s="138"/>
      <c r="H144" s="183"/>
      <c r="I144" s="138"/>
      <c r="J144" s="83"/>
      <c r="K144" s="83"/>
      <c r="L144" s="83"/>
      <c r="M144" s="83"/>
      <c r="N144" s="83"/>
      <c r="O144" s="83"/>
      <c r="P144" s="83"/>
      <c r="Q144" s="83"/>
      <c r="R144" s="83"/>
      <c r="S144" s="83"/>
    </row>
    <row r="145" spans="1:19" s="16" customFormat="1" ht="68.25" customHeight="1" x14ac:dyDescent="0.25">
      <c r="A145" s="88" t="s">
        <v>139</v>
      </c>
      <c r="B145" s="73"/>
      <c r="C145" s="73"/>
      <c r="D145" s="138"/>
      <c r="E145" s="138">
        <v>3411.2</v>
      </c>
      <c r="F145" s="138"/>
      <c r="G145" s="138"/>
      <c r="H145" s="183"/>
      <c r="I145" s="138"/>
      <c r="J145" s="83"/>
      <c r="K145" s="83"/>
      <c r="L145" s="83"/>
      <c r="M145" s="83"/>
      <c r="N145" s="83"/>
      <c r="O145" s="83"/>
      <c r="P145" s="83"/>
      <c r="Q145" s="83"/>
      <c r="R145" s="83"/>
      <c r="S145" s="83"/>
    </row>
    <row r="146" spans="1:19" s="16" customFormat="1" ht="13.5" thickBot="1" x14ac:dyDescent="0.3">
      <c r="A146" s="47"/>
      <c r="B146" s="68"/>
      <c r="C146" s="68"/>
      <c r="D146" s="139"/>
      <c r="E146" s="139"/>
      <c r="F146" s="139"/>
      <c r="G146" s="139"/>
      <c r="H146" s="139"/>
      <c r="I146" s="139"/>
      <c r="J146" s="83"/>
      <c r="K146" s="83"/>
      <c r="L146" s="83"/>
      <c r="M146" s="83"/>
      <c r="N146" s="83"/>
      <c r="O146" s="83"/>
      <c r="P146" s="83"/>
      <c r="Q146" s="83"/>
      <c r="R146" s="83"/>
      <c r="S146" s="83"/>
    </row>
    <row r="147" spans="1:19" s="16" customFormat="1" x14ac:dyDescent="0.25">
      <c r="A147" s="48"/>
      <c r="B147" s="65"/>
      <c r="C147" s="65"/>
      <c r="D147" s="140"/>
      <c r="E147" s="140"/>
      <c r="F147" s="140"/>
      <c r="G147" s="140"/>
      <c r="H147" s="140"/>
      <c r="I147" s="140"/>
      <c r="J147" s="83"/>
      <c r="K147" s="83"/>
      <c r="L147" s="83"/>
      <c r="M147" s="83"/>
      <c r="N147" s="83"/>
      <c r="O147" s="83"/>
      <c r="P147" s="83"/>
      <c r="Q147" s="83"/>
      <c r="R147" s="83"/>
      <c r="S147" s="83"/>
    </row>
    <row r="148" spans="1:19" s="14" customFormat="1" ht="21" hidden="1" customHeight="1" x14ac:dyDescent="0.25">
      <c r="A148" s="42" t="s">
        <v>30</v>
      </c>
      <c r="B148" s="66"/>
      <c r="C148" s="66"/>
      <c r="D148" s="136">
        <f t="shared" ref="D148:I148" si="38">SUM(D149:D150)</f>
        <v>0</v>
      </c>
      <c r="E148" s="136">
        <f t="shared" si="38"/>
        <v>0</v>
      </c>
      <c r="F148" s="136">
        <f t="shared" si="38"/>
        <v>0</v>
      </c>
      <c r="G148" s="136">
        <f t="shared" si="38"/>
        <v>0</v>
      </c>
      <c r="H148" s="136">
        <f t="shared" si="38"/>
        <v>0</v>
      </c>
      <c r="I148" s="136">
        <f t="shared" si="38"/>
        <v>0</v>
      </c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</row>
    <row r="149" spans="1:19" s="23" customFormat="1" ht="100.5" hidden="1" customHeight="1" x14ac:dyDescent="0.25">
      <c r="A149" s="31"/>
      <c r="B149" s="73"/>
      <c r="C149" s="73"/>
      <c r="D149" s="138"/>
      <c r="E149" s="138"/>
      <c r="F149" s="138"/>
      <c r="G149" s="138"/>
      <c r="H149" s="138"/>
      <c r="I149" s="138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</row>
    <row r="150" spans="1:19" s="16" customFormat="1" ht="13.5" hidden="1" thickBot="1" x14ac:dyDescent="0.3">
      <c r="A150" s="47"/>
      <c r="B150" s="68"/>
      <c r="C150" s="68"/>
      <c r="D150" s="139"/>
      <c r="E150" s="139"/>
      <c r="F150" s="139"/>
      <c r="G150" s="139"/>
      <c r="H150" s="139"/>
      <c r="I150" s="139"/>
      <c r="J150" s="83"/>
      <c r="K150" s="83"/>
      <c r="L150" s="83"/>
      <c r="M150" s="83"/>
      <c r="N150" s="83"/>
      <c r="O150" s="83"/>
      <c r="P150" s="83"/>
      <c r="Q150" s="83"/>
      <c r="R150" s="83"/>
      <c r="S150" s="83"/>
    </row>
    <row r="151" spans="1:19" s="16" customFormat="1" ht="13.5" thickBot="1" x14ac:dyDescent="0.3">
      <c r="A151" s="48"/>
      <c r="B151" s="65"/>
      <c r="C151" s="65"/>
      <c r="D151" s="140"/>
      <c r="E151" s="140"/>
      <c r="F151" s="140"/>
      <c r="G151" s="140"/>
      <c r="H151" s="140"/>
      <c r="I151" s="140"/>
      <c r="J151" s="83"/>
      <c r="K151" s="83"/>
      <c r="L151" s="83"/>
      <c r="M151" s="83"/>
      <c r="N151" s="83"/>
      <c r="O151" s="83"/>
      <c r="P151" s="83"/>
      <c r="Q151" s="83"/>
      <c r="R151" s="83"/>
      <c r="S151" s="83"/>
    </row>
    <row r="152" spans="1:19" s="14" customFormat="1" ht="26.25" customHeight="1" x14ac:dyDescent="0.25">
      <c r="A152" s="42" t="s">
        <v>31</v>
      </c>
      <c r="B152" s="66"/>
      <c r="C152" s="66"/>
      <c r="D152" s="136">
        <f t="shared" ref="D152:I152" si="39">SUM(D153:D157)</f>
        <v>5081.3</v>
      </c>
      <c r="E152" s="136">
        <f t="shared" si="39"/>
        <v>0</v>
      </c>
      <c r="F152" s="136">
        <f t="shared" si="39"/>
        <v>0</v>
      </c>
      <c r="G152" s="136">
        <f t="shared" si="39"/>
        <v>0</v>
      </c>
      <c r="H152" s="136">
        <f t="shared" si="39"/>
        <v>0</v>
      </c>
      <c r="I152" s="136">
        <f t="shared" si="39"/>
        <v>0</v>
      </c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</row>
    <row r="153" spans="1:19" s="23" customFormat="1" ht="69" customHeight="1" x14ac:dyDescent="0.25">
      <c r="A153" s="31" t="s">
        <v>127</v>
      </c>
      <c r="B153" s="73">
        <v>904</v>
      </c>
      <c r="C153" s="73" t="s">
        <v>59</v>
      </c>
      <c r="D153" s="138">
        <v>3826.1</v>
      </c>
      <c r="E153" s="138"/>
      <c r="F153" s="138"/>
      <c r="G153" s="138"/>
      <c r="H153" s="138"/>
      <c r="I153" s="138"/>
      <c r="J153" s="126"/>
      <c r="K153" s="126"/>
      <c r="L153" s="126"/>
      <c r="M153" s="126"/>
      <c r="N153" s="126"/>
      <c r="O153" s="126"/>
      <c r="P153" s="126"/>
      <c r="Q153" s="126"/>
      <c r="R153" s="126"/>
      <c r="S153" s="126"/>
    </row>
    <row r="154" spans="1:19" s="23" customFormat="1" ht="109.5" customHeight="1" x14ac:dyDescent="0.25">
      <c r="A154" s="185" t="s">
        <v>128</v>
      </c>
      <c r="B154" s="184">
        <v>1255.2</v>
      </c>
      <c r="C154" s="185" t="s">
        <v>128</v>
      </c>
      <c r="D154" s="184">
        <v>1255.2</v>
      </c>
      <c r="E154" s="163"/>
      <c r="F154" s="163"/>
      <c r="G154" s="163"/>
      <c r="H154" s="178"/>
      <c r="I154" s="213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</row>
    <row r="155" spans="1:19" s="23" customFormat="1" ht="69" hidden="1" customHeight="1" x14ac:dyDescent="0.25">
      <c r="A155" s="214"/>
      <c r="B155" s="94"/>
      <c r="C155" s="94"/>
      <c r="D155" s="163"/>
      <c r="E155" s="163"/>
      <c r="F155" s="163"/>
      <c r="G155" s="163"/>
      <c r="H155" s="178"/>
      <c r="I155" s="213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</row>
    <row r="156" spans="1:19" s="23" customFormat="1" ht="69" hidden="1" customHeight="1" x14ac:dyDescent="0.25">
      <c r="A156" s="214"/>
      <c r="B156" s="94"/>
      <c r="C156" s="94"/>
      <c r="D156" s="163"/>
      <c r="E156" s="163"/>
      <c r="F156" s="163"/>
      <c r="G156" s="163"/>
      <c r="H156" s="178"/>
      <c r="I156" s="213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</row>
    <row r="157" spans="1:19" s="16" customFormat="1" ht="13.5" thickBot="1" x14ac:dyDescent="0.3">
      <c r="A157" s="47"/>
      <c r="B157" s="68"/>
      <c r="C157" s="68"/>
      <c r="D157" s="139"/>
      <c r="E157" s="139"/>
      <c r="F157" s="139"/>
      <c r="G157" s="139"/>
      <c r="H157" s="139"/>
      <c r="I157" s="139"/>
      <c r="J157" s="83"/>
      <c r="K157" s="83"/>
      <c r="L157" s="83"/>
      <c r="M157" s="83"/>
      <c r="N157" s="83"/>
      <c r="O157" s="83"/>
      <c r="P157" s="83"/>
      <c r="Q157" s="83"/>
      <c r="R157" s="83"/>
      <c r="S157" s="83"/>
    </row>
    <row r="158" spans="1:19" s="16" customFormat="1" ht="13.5" thickBot="1" x14ac:dyDescent="0.3">
      <c r="A158" s="48"/>
      <c r="B158" s="65"/>
      <c r="C158" s="65"/>
      <c r="D158" s="140"/>
      <c r="E158" s="140"/>
      <c r="F158" s="140"/>
      <c r="G158" s="140"/>
      <c r="H158" s="140"/>
      <c r="I158" s="140"/>
      <c r="J158" s="83"/>
      <c r="K158" s="83"/>
      <c r="L158" s="83"/>
      <c r="M158" s="83"/>
      <c r="N158" s="83"/>
      <c r="O158" s="83"/>
      <c r="P158" s="83"/>
      <c r="Q158" s="83"/>
      <c r="R158" s="83"/>
      <c r="S158" s="83"/>
    </row>
    <row r="159" spans="1:19" s="14" customFormat="1" ht="21" customHeight="1" x14ac:dyDescent="0.25">
      <c r="A159" s="42" t="s">
        <v>32</v>
      </c>
      <c r="B159" s="66"/>
      <c r="C159" s="66"/>
      <c r="D159" s="136">
        <f t="shared" ref="D159:I159" si="40">SUM(D160:D165)</f>
        <v>5826.1</v>
      </c>
      <c r="E159" s="136">
        <f t="shared" si="40"/>
        <v>0</v>
      </c>
      <c r="F159" s="136">
        <f t="shared" si="40"/>
        <v>57696.1</v>
      </c>
      <c r="G159" s="136">
        <f t="shared" si="40"/>
        <v>0</v>
      </c>
      <c r="H159" s="136">
        <f t="shared" si="40"/>
        <v>0</v>
      </c>
      <c r="I159" s="136">
        <f t="shared" si="40"/>
        <v>0</v>
      </c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</row>
    <row r="160" spans="1:19" s="23" customFormat="1" ht="112.5" hidden="1" customHeight="1" x14ac:dyDescent="0.25">
      <c r="A160" s="27" t="s">
        <v>33</v>
      </c>
      <c r="B160" s="71"/>
      <c r="C160" s="71"/>
      <c r="D160" s="154">
        <v>0</v>
      </c>
      <c r="E160" s="154">
        <v>0</v>
      </c>
      <c r="F160" s="154">
        <v>0</v>
      </c>
      <c r="G160" s="154">
        <v>0</v>
      </c>
      <c r="H160" s="154">
        <v>0</v>
      </c>
      <c r="I160" s="154">
        <v>0</v>
      </c>
      <c r="J160" s="126"/>
      <c r="K160" s="126"/>
      <c r="L160" s="126"/>
      <c r="M160" s="126"/>
      <c r="N160" s="126"/>
      <c r="O160" s="126"/>
      <c r="P160" s="126"/>
      <c r="Q160" s="126"/>
      <c r="R160" s="126"/>
      <c r="S160" s="126"/>
    </row>
    <row r="161" spans="1:19" s="23" customFormat="1" ht="99.75" hidden="1" customHeight="1" x14ac:dyDescent="0.25">
      <c r="A161" s="31" t="s">
        <v>45</v>
      </c>
      <c r="B161" s="73">
        <v>904</v>
      </c>
      <c r="C161" s="73" t="s">
        <v>59</v>
      </c>
      <c r="D161" s="138">
        <f>1634-1634</f>
        <v>0</v>
      </c>
      <c r="E161" s="138"/>
      <c r="F161" s="138"/>
      <c r="G161" s="138"/>
      <c r="H161" s="138"/>
      <c r="I161" s="138"/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</row>
    <row r="162" spans="1:19" s="23" customFormat="1" ht="99.75" customHeight="1" x14ac:dyDescent="0.25">
      <c r="A162" s="31" t="s">
        <v>138</v>
      </c>
      <c r="B162" s="73"/>
      <c r="C162" s="73"/>
      <c r="D162" s="138"/>
      <c r="E162" s="138"/>
      <c r="F162" s="138">
        <v>57696.1</v>
      </c>
      <c r="G162" s="138"/>
      <c r="H162" s="138"/>
      <c r="I162" s="138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</row>
    <row r="163" spans="1:19" s="23" customFormat="1" ht="99.75" customHeight="1" x14ac:dyDescent="0.25">
      <c r="A163" s="31" t="s">
        <v>127</v>
      </c>
      <c r="B163" s="73"/>
      <c r="C163" s="73"/>
      <c r="D163" s="138">
        <v>3826.1</v>
      </c>
      <c r="E163" s="138"/>
      <c r="F163" s="138"/>
      <c r="G163" s="138"/>
      <c r="H163" s="138"/>
      <c r="I163" s="138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</row>
    <row r="164" spans="1:19" s="23" customFormat="1" ht="99.75" customHeight="1" x14ac:dyDescent="0.25">
      <c r="A164" s="186" t="s">
        <v>133</v>
      </c>
      <c r="B164" s="187">
        <v>2000</v>
      </c>
      <c r="C164" s="186" t="s">
        <v>133</v>
      </c>
      <c r="D164" s="187">
        <v>2000</v>
      </c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16" customFormat="1" ht="13.5" thickBot="1" x14ac:dyDescent="0.3">
      <c r="A165" s="47"/>
      <c r="B165" s="68"/>
      <c r="C165" s="68"/>
      <c r="D165" s="139"/>
      <c r="E165" s="139"/>
      <c r="F165" s="139"/>
      <c r="G165" s="139"/>
      <c r="H165" s="139"/>
      <c r="I165" s="139"/>
      <c r="J165" s="83"/>
      <c r="K165" s="83"/>
      <c r="L165" s="83"/>
      <c r="M165" s="83"/>
      <c r="N165" s="83"/>
      <c r="O165" s="83"/>
      <c r="P165" s="83"/>
      <c r="Q165" s="83"/>
      <c r="R165" s="83"/>
      <c r="S165" s="83"/>
    </row>
    <row r="166" spans="1:19" s="16" customFormat="1" ht="21.75" customHeight="1" thickBot="1" x14ac:dyDescent="0.3">
      <c r="A166" s="48"/>
      <c r="B166" s="65"/>
      <c r="C166" s="65"/>
      <c r="D166" s="140"/>
      <c r="E166" s="140"/>
      <c r="F166" s="140"/>
      <c r="G166" s="140"/>
      <c r="H166" s="140"/>
      <c r="I166" s="140"/>
      <c r="J166" s="83"/>
      <c r="K166" s="83"/>
      <c r="L166" s="83"/>
      <c r="M166" s="83"/>
      <c r="N166" s="83"/>
      <c r="O166" s="83"/>
      <c r="P166" s="83"/>
      <c r="Q166" s="83"/>
      <c r="R166" s="83"/>
      <c r="S166" s="83"/>
    </row>
    <row r="167" spans="1:19" s="14" customFormat="1" ht="21" hidden="1" customHeight="1" x14ac:dyDescent="0.25">
      <c r="A167" s="42" t="s">
        <v>34</v>
      </c>
      <c r="B167" s="66"/>
      <c r="C167" s="66"/>
      <c r="D167" s="136">
        <f t="shared" ref="D167:I167" si="41">SUM(D168:D169)</f>
        <v>0</v>
      </c>
      <c r="E167" s="136">
        <f t="shared" si="41"/>
        <v>0</v>
      </c>
      <c r="F167" s="136">
        <f t="shared" si="41"/>
        <v>0</v>
      </c>
      <c r="G167" s="136">
        <f t="shared" si="41"/>
        <v>0</v>
      </c>
      <c r="H167" s="136">
        <f t="shared" si="41"/>
        <v>0</v>
      </c>
      <c r="I167" s="136">
        <f t="shared" si="41"/>
        <v>0</v>
      </c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</row>
    <row r="168" spans="1:19" s="23" customFormat="1" ht="13.5" hidden="1" thickBot="1" x14ac:dyDescent="0.3">
      <c r="A168" s="43"/>
      <c r="B168" s="73"/>
      <c r="C168" s="73"/>
      <c r="D168" s="138"/>
      <c r="E168" s="138"/>
      <c r="F168" s="138"/>
      <c r="G168" s="138"/>
      <c r="H168" s="138"/>
      <c r="I168" s="138"/>
      <c r="J168" s="126"/>
      <c r="K168" s="126"/>
      <c r="L168" s="126"/>
      <c r="M168" s="126"/>
      <c r="N168" s="126"/>
      <c r="O168" s="126"/>
      <c r="P168" s="126"/>
      <c r="Q168" s="126"/>
      <c r="R168" s="126"/>
      <c r="S168" s="126"/>
    </row>
    <row r="169" spans="1:19" s="18" customFormat="1" ht="13.5" hidden="1" thickBot="1" x14ac:dyDescent="0.3">
      <c r="A169" s="44"/>
      <c r="B169" s="77"/>
      <c r="C169" s="77"/>
      <c r="D169" s="176"/>
      <c r="E169" s="176"/>
      <c r="F169" s="176"/>
      <c r="G169" s="176"/>
      <c r="H169" s="176"/>
      <c r="I169" s="176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</row>
    <row r="170" spans="1:19" s="18" customFormat="1" ht="13.5" hidden="1" thickBot="1" x14ac:dyDescent="0.3">
      <c r="A170" s="46"/>
      <c r="B170" s="78"/>
      <c r="C170" s="78"/>
      <c r="D170" s="177"/>
      <c r="E170" s="177"/>
      <c r="F170" s="177"/>
      <c r="G170" s="177"/>
      <c r="H170" s="177"/>
      <c r="I170" s="177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</row>
    <row r="171" spans="1:19" s="14" customFormat="1" ht="21" hidden="1" customHeight="1" x14ac:dyDescent="0.25">
      <c r="A171" s="42" t="s">
        <v>35</v>
      </c>
      <c r="B171" s="66"/>
      <c r="C171" s="66"/>
      <c r="D171" s="136">
        <f t="shared" ref="D171:I171" si="42">SUM(D172:D174)</f>
        <v>0</v>
      </c>
      <c r="E171" s="136">
        <f t="shared" si="42"/>
        <v>0</v>
      </c>
      <c r="F171" s="136">
        <f t="shared" si="42"/>
        <v>0</v>
      </c>
      <c r="G171" s="136">
        <f t="shared" si="42"/>
        <v>0</v>
      </c>
      <c r="H171" s="136">
        <f t="shared" si="42"/>
        <v>0</v>
      </c>
      <c r="I171" s="136">
        <f t="shared" si="42"/>
        <v>0</v>
      </c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</row>
    <row r="172" spans="1:19" s="23" customFormat="1" ht="69" hidden="1" customHeight="1" x14ac:dyDescent="0.25">
      <c r="A172" s="31"/>
      <c r="B172" s="73">
        <v>904</v>
      </c>
      <c r="C172" s="73" t="s">
        <v>59</v>
      </c>
      <c r="D172" s="138"/>
      <c r="E172" s="138"/>
      <c r="F172" s="138"/>
      <c r="G172" s="138"/>
      <c r="H172" s="138"/>
      <c r="I172" s="138"/>
      <c r="J172" s="126"/>
      <c r="K172" s="126"/>
      <c r="L172" s="126"/>
      <c r="M172" s="126"/>
      <c r="N172" s="126"/>
      <c r="O172" s="126"/>
      <c r="P172" s="126"/>
      <c r="Q172" s="126"/>
      <c r="R172" s="126"/>
      <c r="S172" s="126"/>
    </row>
    <row r="173" spans="1:19" s="23" customFormat="1" ht="69" hidden="1" customHeight="1" x14ac:dyDescent="0.25">
      <c r="A173" s="31"/>
      <c r="B173" s="73"/>
      <c r="C173" s="73"/>
      <c r="D173" s="138"/>
      <c r="E173" s="138"/>
      <c r="F173" s="138"/>
      <c r="G173" s="138"/>
      <c r="H173" s="138"/>
      <c r="I173" s="138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</row>
    <row r="174" spans="1:19" s="18" customFormat="1" ht="14.25" hidden="1" customHeight="1" thickBot="1" x14ac:dyDescent="0.3">
      <c r="A174" s="44"/>
      <c r="B174" s="77"/>
      <c r="C174" s="77"/>
      <c r="D174" s="176"/>
      <c r="E174" s="176"/>
      <c r="F174" s="176"/>
      <c r="G174" s="176"/>
      <c r="H174" s="176"/>
      <c r="I174" s="176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</row>
    <row r="175" spans="1:19" s="16" customFormat="1" ht="15.75" hidden="1" customHeight="1" thickBot="1" x14ac:dyDescent="0.3">
      <c r="A175" s="49"/>
      <c r="B175" s="65"/>
      <c r="C175" s="65"/>
      <c r="D175" s="179"/>
      <c r="E175" s="179"/>
      <c r="F175" s="179"/>
      <c r="G175" s="179"/>
      <c r="H175" s="179"/>
      <c r="I175" s="179"/>
      <c r="J175" s="83"/>
      <c r="K175" s="83"/>
      <c r="L175" s="83"/>
      <c r="M175" s="83"/>
      <c r="N175" s="83"/>
      <c r="O175" s="83"/>
      <c r="P175" s="83"/>
      <c r="Q175" s="83"/>
      <c r="R175" s="83"/>
      <c r="S175" s="83"/>
    </row>
    <row r="176" spans="1:19" s="14" customFormat="1" ht="21" customHeight="1" x14ac:dyDescent="0.25">
      <c r="A176" s="42" t="s">
        <v>36</v>
      </c>
      <c r="B176" s="66"/>
      <c r="C176" s="66"/>
      <c r="D176" s="136">
        <f t="shared" ref="D176:I176" si="43">SUM(D177:D178)</f>
        <v>3826.1</v>
      </c>
      <c r="E176" s="136">
        <f t="shared" si="43"/>
        <v>0</v>
      </c>
      <c r="F176" s="136">
        <f t="shared" si="43"/>
        <v>0</v>
      </c>
      <c r="G176" s="136">
        <f t="shared" si="43"/>
        <v>0</v>
      </c>
      <c r="H176" s="136">
        <f t="shared" si="43"/>
        <v>0</v>
      </c>
      <c r="I176" s="136">
        <f t="shared" si="43"/>
        <v>0</v>
      </c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</row>
    <row r="177" spans="1:19" s="18" customFormat="1" ht="77.25" customHeight="1" x14ac:dyDescent="0.25">
      <c r="A177" s="20" t="s">
        <v>127</v>
      </c>
      <c r="B177" s="70"/>
      <c r="C177" s="70"/>
      <c r="D177" s="157">
        <v>3826.1</v>
      </c>
      <c r="E177" s="157"/>
      <c r="F177" s="157"/>
      <c r="G177" s="157"/>
      <c r="H177" s="157"/>
      <c r="I177" s="157"/>
      <c r="J177" s="125"/>
      <c r="K177" s="125"/>
      <c r="L177" s="125"/>
      <c r="M177" s="125"/>
      <c r="N177" s="125"/>
      <c r="O177" s="125"/>
      <c r="P177" s="125"/>
      <c r="Q177" s="125"/>
      <c r="R177" s="125"/>
      <c r="S177" s="125"/>
    </row>
    <row r="178" spans="1:19" s="16" customFormat="1" ht="13.5" thickBot="1" x14ac:dyDescent="0.3">
      <c r="A178" s="47"/>
      <c r="B178" s="68"/>
      <c r="C178" s="68"/>
      <c r="D178" s="139"/>
      <c r="E178" s="139"/>
      <c r="F178" s="139"/>
      <c r="G178" s="139"/>
      <c r="H178" s="139"/>
      <c r="I178" s="139"/>
      <c r="J178" s="83"/>
      <c r="K178" s="83"/>
      <c r="L178" s="83"/>
      <c r="M178" s="83"/>
      <c r="N178" s="83"/>
      <c r="O178" s="83"/>
      <c r="P178" s="83"/>
      <c r="Q178" s="83"/>
      <c r="R178" s="83"/>
      <c r="S178" s="83"/>
    </row>
    <row r="179" spans="1:19" s="16" customFormat="1" ht="13.5" thickBot="1" x14ac:dyDescent="0.3">
      <c r="A179" s="48"/>
      <c r="B179" s="65"/>
      <c r="C179" s="65"/>
      <c r="D179" s="140"/>
      <c r="E179" s="140"/>
      <c r="F179" s="140"/>
      <c r="G179" s="140"/>
      <c r="H179" s="140"/>
      <c r="I179" s="140"/>
      <c r="J179" s="83"/>
      <c r="K179" s="83"/>
      <c r="L179" s="83"/>
      <c r="M179" s="83"/>
      <c r="N179" s="83"/>
      <c r="O179" s="83"/>
      <c r="P179" s="83"/>
      <c r="Q179" s="83"/>
      <c r="R179" s="83"/>
      <c r="S179" s="83"/>
    </row>
    <row r="180" spans="1:19" s="14" customFormat="1" ht="21" customHeight="1" x14ac:dyDescent="0.25">
      <c r="A180" s="42" t="s">
        <v>37</v>
      </c>
      <c r="B180" s="66"/>
      <c r="C180" s="66"/>
      <c r="D180" s="136">
        <f t="shared" ref="D180:I180" si="44">SUM(D181:D184)</f>
        <v>1656.6</v>
      </c>
      <c r="E180" s="136">
        <f t="shared" si="44"/>
        <v>0</v>
      </c>
      <c r="F180" s="136">
        <f t="shared" si="44"/>
        <v>29951.4</v>
      </c>
      <c r="G180" s="136">
        <f t="shared" si="44"/>
        <v>0</v>
      </c>
      <c r="H180" s="136">
        <f t="shared" si="44"/>
        <v>0</v>
      </c>
      <c r="I180" s="136">
        <f t="shared" si="44"/>
        <v>0</v>
      </c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</row>
    <row r="181" spans="1:19" s="23" customFormat="1" ht="148.5" hidden="1" customHeight="1" x14ac:dyDescent="0.25">
      <c r="A181" s="43" t="s">
        <v>38</v>
      </c>
      <c r="B181" s="73"/>
      <c r="C181" s="73"/>
      <c r="D181" s="138">
        <v>0</v>
      </c>
      <c r="E181" s="138"/>
      <c r="F181" s="138"/>
      <c r="G181" s="138"/>
      <c r="H181" s="138"/>
      <c r="I181" s="138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</row>
    <row r="182" spans="1:19" s="23" customFormat="1" ht="78" customHeight="1" x14ac:dyDescent="0.25">
      <c r="A182" s="43" t="s">
        <v>66</v>
      </c>
      <c r="B182" s="73">
        <v>904</v>
      </c>
      <c r="C182" s="73" t="s">
        <v>59</v>
      </c>
      <c r="D182" s="138"/>
      <c r="E182" s="138"/>
      <c r="F182" s="138">
        <v>29951.4</v>
      </c>
      <c r="G182" s="138"/>
      <c r="H182" s="138"/>
      <c r="I182" s="138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</row>
    <row r="183" spans="1:19" s="23" customFormat="1" ht="78" customHeight="1" x14ac:dyDescent="0.25">
      <c r="A183" s="186" t="s">
        <v>135</v>
      </c>
      <c r="B183" s="187">
        <v>1656.6</v>
      </c>
      <c r="C183" s="186" t="s">
        <v>135</v>
      </c>
      <c r="D183" s="187">
        <v>1656.6</v>
      </c>
      <c r="E183" s="138"/>
      <c r="F183" s="138"/>
      <c r="G183" s="138"/>
      <c r="H183" s="138"/>
      <c r="I183" s="138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</row>
    <row r="184" spans="1:19" s="18" customFormat="1" ht="13.5" thickBot="1" x14ac:dyDescent="0.3">
      <c r="A184" s="21"/>
      <c r="B184" s="68"/>
      <c r="C184" s="68"/>
      <c r="D184" s="176"/>
      <c r="E184" s="176"/>
      <c r="F184" s="176"/>
      <c r="G184" s="176"/>
      <c r="H184" s="176"/>
      <c r="I184" s="176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</row>
    <row r="185" spans="1:19" s="16" customFormat="1" ht="15.75" customHeight="1" thickBot="1" x14ac:dyDescent="0.3">
      <c r="A185" s="49"/>
      <c r="B185" s="65"/>
      <c r="C185" s="65"/>
      <c r="D185" s="179"/>
      <c r="E185" s="179"/>
      <c r="F185" s="179"/>
      <c r="G185" s="179"/>
      <c r="H185" s="179"/>
      <c r="I185" s="179"/>
      <c r="J185" s="83"/>
      <c r="K185" s="83"/>
      <c r="L185" s="83"/>
      <c r="M185" s="83"/>
      <c r="N185" s="83"/>
      <c r="O185" s="83"/>
      <c r="P185" s="83"/>
      <c r="Q185" s="83"/>
      <c r="R185" s="83"/>
      <c r="S185" s="83"/>
    </row>
    <row r="186" spans="1:19" s="14" customFormat="1" ht="21" customHeight="1" thickBot="1" x14ac:dyDescent="0.3">
      <c r="A186" s="42" t="s">
        <v>39</v>
      </c>
      <c r="B186" s="66"/>
      <c r="C186" s="66"/>
      <c r="D186" s="136">
        <f t="shared" ref="D186:I186" si="45">SUM(D187:D190)</f>
        <v>151761.5</v>
      </c>
      <c r="E186" s="136">
        <f t="shared" si="45"/>
        <v>0</v>
      </c>
      <c r="F186" s="136">
        <f t="shared" si="45"/>
        <v>1499.2</v>
      </c>
      <c r="G186" s="136">
        <f t="shared" si="45"/>
        <v>0</v>
      </c>
      <c r="H186" s="136">
        <f t="shared" si="45"/>
        <v>1499.2</v>
      </c>
      <c r="I186" s="136">
        <f t="shared" si="45"/>
        <v>0</v>
      </c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</row>
    <row r="187" spans="1:19" s="23" customFormat="1" ht="120" hidden="1" customHeight="1" thickBot="1" x14ac:dyDescent="0.3">
      <c r="A187" s="60" t="s">
        <v>40</v>
      </c>
      <c r="B187" s="79"/>
      <c r="C187" s="79"/>
      <c r="D187" s="138">
        <v>0</v>
      </c>
      <c r="E187" s="138"/>
      <c r="F187" s="138"/>
      <c r="G187" s="138"/>
      <c r="H187" s="138"/>
      <c r="I187" s="138"/>
      <c r="J187" s="126"/>
      <c r="K187" s="126"/>
      <c r="L187" s="126"/>
      <c r="M187" s="126"/>
      <c r="N187" s="126"/>
      <c r="O187" s="126"/>
      <c r="P187" s="126"/>
      <c r="Q187" s="126"/>
      <c r="R187" s="126"/>
      <c r="S187" s="126"/>
    </row>
    <row r="188" spans="1:19" s="23" customFormat="1" ht="69" customHeight="1" thickBot="1" x14ac:dyDescent="0.3">
      <c r="A188" s="51" t="s">
        <v>63</v>
      </c>
      <c r="B188" s="79"/>
      <c r="C188" s="79"/>
      <c r="D188" s="138">
        <f>1499.2-602.6</f>
        <v>896.6</v>
      </c>
      <c r="E188" s="138"/>
      <c r="F188" s="138">
        <v>1499.2</v>
      </c>
      <c r="G188" s="138"/>
      <c r="H188" s="138">
        <v>1499.2</v>
      </c>
      <c r="I188" s="138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</row>
    <row r="189" spans="1:19" s="23" customFormat="1" ht="93" customHeight="1" thickBot="1" x14ac:dyDescent="0.3">
      <c r="A189" s="60" t="s">
        <v>120</v>
      </c>
      <c r="B189" s="79"/>
      <c r="C189" s="79"/>
      <c r="D189" s="138">
        <v>150864.9</v>
      </c>
      <c r="E189" s="138"/>
      <c r="F189" s="138"/>
      <c r="G189" s="138"/>
      <c r="H189" s="183"/>
      <c r="I189" s="138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</row>
    <row r="190" spans="1:19" s="16" customFormat="1" ht="13.5" thickBot="1" x14ac:dyDescent="0.3">
      <c r="A190" s="52"/>
      <c r="B190" s="80"/>
      <c r="C190" s="80"/>
      <c r="D190" s="139"/>
      <c r="E190" s="139"/>
      <c r="F190" s="139"/>
      <c r="G190" s="139"/>
      <c r="H190" s="139"/>
      <c r="I190" s="139"/>
      <c r="J190" s="83"/>
      <c r="K190" s="83"/>
      <c r="L190" s="83"/>
      <c r="M190" s="83"/>
      <c r="N190" s="83"/>
      <c r="O190" s="83"/>
      <c r="P190" s="83"/>
      <c r="Q190" s="83"/>
      <c r="R190" s="83"/>
      <c r="S190" s="83"/>
    </row>
    <row r="191" spans="1:19" s="16" customFormat="1" ht="13.5" thickBot="1" x14ac:dyDescent="0.3">
      <c r="A191" s="23"/>
      <c r="B191" s="65"/>
      <c r="C191" s="65"/>
      <c r="D191" s="140"/>
      <c r="E191" s="140"/>
      <c r="F191" s="140"/>
      <c r="G191" s="140"/>
      <c r="H191" s="140"/>
      <c r="I191" s="140"/>
      <c r="J191" s="83"/>
      <c r="K191" s="83"/>
      <c r="L191" s="83"/>
      <c r="M191" s="83"/>
      <c r="N191" s="83"/>
      <c r="O191" s="83"/>
      <c r="P191" s="83"/>
      <c r="Q191" s="83"/>
      <c r="R191" s="83"/>
      <c r="S191" s="83"/>
    </row>
    <row r="192" spans="1:19" s="37" customFormat="1" ht="21" customHeight="1" thickBot="1" x14ac:dyDescent="0.3">
      <c r="A192" s="34" t="s">
        <v>41</v>
      </c>
      <c r="B192" s="75"/>
      <c r="C192" s="75"/>
      <c r="D192" s="165">
        <f>D115+D122+D132+D137+D152+D159+D167+D171+D176+D180+D186+D148+D128</f>
        <v>201836.69999999998</v>
      </c>
      <c r="E192" s="165">
        <f>E115+E122+E132+E137+E152+E159+E167+E171+E176+E180+E186+E128</f>
        <v>3782.7999999999997</v>
      </c>
      <c r="F192" s="165">
        <f>F115+F122+F132+F137+F152+F159+F167+F171+F176+F180+F186+F148+F128</f>
        <v>89238.2</v>
      </c>
      <c r="G192" s="165">
        <f>G115+G122+G132+G137+G152+G159+G167+G171+G176+G180+G186</f>
        <v>0</v>
      </c>
      <c r="H192" s="165">
        <f>H115+H122+H132+H137+H152+H159+H167+H171+H176+H180+H186+H148</f>
        <v>47914</v>
      </c>
      <c r="I192" s="165">
        <f>I115+I122+I132+I137+I152+I159+I167+I171+I176+I180+I186</f>
        <v>0</v>
      </c>
      <c r="J192" s="127"/>
      <c r="K192" s="127"/>
      <c r="L192" s="127"/>
      <c r="M192" s="127"/>
      <c r="N192" s="127"/>
      <c r="O192" s="127"/>
      <c r="P192" s="127"/>
      <c r="Q192" s="127"/>
      <c r="R192" s="127"/>
      <c r="S192" s="127"/>
    </row>
    <row r="193" spans="1:19" s="16" customFormat="1" ht="13.5" thickBot="1" x14ac:dyDescent="0.3">
      <c r="A193" s="23"/>
      <c r="B193" s="65"/>
      <c r="C193" s="65"/>
      <c r="D193" s="140"/>
      <c r="E193" s="140"/>
      <c r="F193" s="140"/>
      <c r="G193" s="140"/>
      <c r="H193" s="140"/>
      <c r="I193" s="140"/>
      <c r="J193" s="83"/>
      <c r="K193" s="83"/>
      <c r="L193" s="83"/>
      <c r="M193" s="83"/>
      <c r="N193" s="83"/>
      <c r="O193" s="83"/>
      <c r="P193" s="83"/>
      <c r="Q193" s="83"/>
      <c r="R193" s="83"/>
      <c r="S193" s="83"/>
    </row>
    <row r="194" spans="1:19" s="55" customFormat="1" ht="21" customHeight="1" thickBot="1" x14ac:dyDescent="0.3">
      <c r="A194" s="53" t="s">
        <v>42</v>
      </c>
      <c r="B194" s="81"/>
      <c r="C194" s="81"/>
      <c r="D194" s="181">
        <f t="shared" ref="D194:I194" si="46">D113+D192</f>
        <v>703225.6</v>
      </c>
      <c r="E194" s="181">
        <f t="shared" si="46"/>
        <v>34710.800000000003</v>
      </c>
      <c r="F194" s="181">
        <f t="shared" si="46"/>
        <v>430057.7</v>
      </c>
      <c r="G194" s="181">
        <f t="shared" si="46"/>
        <v>28545.300000000003</v>
      </c>
      <c r="H194" s="181">
        <f t="shared" si="46"/>
        <v>456407.7</v>
      </c>
      <c r="I194" s="181">
        <f t="shared" si="46"/>
        <v>22525.1</v>
      </c>
      <c r="J194" s="128"/>
      <c r="K194" s="128"/>
      <c r="L194" s="128"/>
      <c r="M194" s="128"/>
      <c r="N194" s="128"/>
      <c r="O194" s="128"/>
      <c r="P194" s="128"/>
      <c r="Q194" s="128"/>
      <c r="R194" s="128"/>
      <c r="S194" s="128"/>
    </row>
    <row r="195" spans="1:19" s="56" customFormat="1" x14ac:dyDescent="0.25">
      <c r="B195" s="64"/>
      <c r="C195" s="64"/>
      <c r="D195" s="140"/>
      <c r="E195" s="140"/>
      <c r="F195" s="140"/>
      <c r="G195" s="140"/>
      <c r="H195" s="140"/>
      <c r="I195" s="140"/>
      <c r="J195" s="83"/>
      <c r="K195" s="83"/>
      <c r="L195" s="83"/>
      <c r="M195" s="83"/>
      <c r="N195" s="83"/>
      <c r="O195" s="83"/>
      <c r="P195" s="83"/>
      <c r="Q195" s="83"/>
      <c r="R195" s="83"/>
      <c r="S195" s="83"/>
    </row>
    <row r="196" spans="1:19" s="56" customFormat="1" x14ac:dyDescent="0.25">
      <c r="B196" s="64"/>
      <c r="C196" s="64"/>
      <c r="D196" s="140"/>
      <c r="E196" s="140"/>
      <c r="F196" s="140"/>
      <c r="G196" s="140"/>
      <c r="H196" s="140"/>
      <c r="I196" s="140"/>
      <c r="J196" s="83"/>
      <c r="K196" s="83"/>
      <c r="L196" s="83"/>
      <c r="M196" s="83"/>
      <c r="N196" s="83"/>
      <c r="O196" s="83"/>
      <c r="P196" s="83"/>
      <c r="Q196" s="83"/>
      <c r="R196" s="83"/>
      <c r="S196" s="83"/>
    </row>
    <row r="197" spans="1:19" s="56" customFormat="1" x14ac:dyDescent="0.25">
      <c r="B197" s="64"/>
      <c r="C197" s="64"/>
      <c r="D197" s="140"/>
      <c r="E197" s="140"/>
      <c r="F197" s="140"/>
      <c r="G197" s="140"/>
      <c r="H197" s="140"/>
      <c r="I197" s="140"/>
      <c r="J197" s="83"/>
      <c r="K197" s="83"/>
      <c r="L197" s="83"/>
      <c r="M197" s="83"/>
      <c r="N197" s="83"/>
      <c r="O197" s="83"/>
      <c r="P197" s="83"/>
      <c r="Q197" s="83"/>
      <c r="R197" s="83"/>
      <c r="S197" s="83"/>
    </row>
    <row r="198" spans="1:19" s="59" customFormat="1" ht="33" customHeight="1" x14ac:dyDescent="0.25">
      <c r="A198" s="57" t="s">
        <v>43</v>
      </c>
      <c r="B198" s="82"/>
      <c r="C198" s="82"/>
      <c r="D198" s="182"/>
      <c r="E198" s="227" t="s">
        <v>44</v>
      </c>
      <c r="F198" s="227"/>
      <c r="G198" s="227"/>
      <c r="H198" s="227"/>
      <c r="I198" s="227"/>
      <c r="J198" s="129"/>
      <c r="K198" s="129"/>
      <c r="L198" s="129"/>
      <c r="M198" s="129"/>
      <c r="N198" s="129"/>
      <c r="O198" s="129"/>
      <c r="P198" s="129"/>
      <c r="Q198" s="129"/>
      <c r="R198" s="129"/>
      <c r="S198" s="129"/>
    </row>
    <row r="199" spans="1:19" s="83" customFormat="1" x14ac:dyDescent="0.25">
      <c r="D199" s="140"/>
      <c r="E199" s="140"/>
      <c r="F199" s="140"/>
      <c r="G199" s="140"/>
      <c r="H199" s="140"/>
      <c r="I199" s="140"/>
    </row>
    <row r="200" spans="1:19" s="83" customFormat="1" x14ac:dyDescent="0.25">
      <c r="D200" s="140"/>
      <c r="E200" s="140"/>
      <c r="F200" s="140"/>
      <c r="G200" s="140"/>
      <c r="H200" s="140"/>
      <c r="I200" s="140"/>
    </row>
    <row r="201" spans="1:19" s="83" customFormat="1" x14ac:dyDescent="0.25">
      <c r="D201" s="140"/>
      <c r="E201" s="140"/>
      <c r="F201" s="140"/>
      <c r="G201" s="140"/>
      <c r="H201" s="140"/>
      <c r="I201" s="140"/>
    </row>
    <row r="202" spans="1:19" s="83" customFormat="1" hidden="1" x14ac:dyDescent="0.25">
      <c r="D202" s="140"/>
      <c r="E202" s="140"/>
      <c r="F202" s="140"/>
      <c r="G202" s="140"/>
      <c r="H202" s="140"/>
      <c r="I202" s="140"/>
    </row>
    <row r="203" spans="1:19" s="83" customFormat="1" hidden="1" x14ac:dyDescent="0.25">
      <c r="D203" s="140">
        <f>714466.7</f>
        <v>714466.7</v>
      </c>
      <c r="E203" s="140"/>
      <c r="F203" s="140">
        <v>430057.7</v>
      </c>
      <c r="G203" s="140"/>
      <c r="H203" s="140">
        <v>456407.7</v>
      </c>
      <c r="I203" s="140"/>
    </row>
    <row r="204" spans="1:19" s="83" customFormat="1" hidden="1" x14ac:dyDescent="0.25">
      <c r="D204" s="140">
        <f>D203-D194</f>
        <v>11241.099999999977</v>
      </c>
      <c r="E204" s="140"/>
      <c r="F204" s="140">
        <f>F203-F194</f>
        <v>0</v>
      </c>
      <c r="G204" s="140"/>
      <c r="H204" s="140">
        <f>H203-H194</f>
        <v>0</v>
      </c>
      <c r="I204" s="140"/>
    </row>
    <row r="205" spans="1:19" s="83" customFormat="1" hidden="1" x14ac:dyDescent="0.25">
      <c r="D205" s="140"/>
      <c r="E205" s="140"/>
      <c r="F205" s="140"/>
      <c r="G205" s="140"/>
      <c r="H205" s="140"/>
      <c r="I205" s="140"/>
    </row>
    <row r="206" spans="1:19" s="83" customFormat="1" hidden="1" x14ac:dyDescent="0.25">
      <c r="D206" s="140"/>
      <c r="E206" s="140"/>
      <c r="F206" s="140"/>
      <c r="G206" s="140"/>
      <c r="H206" s="140"/>
      <c r="I206" s="140"/>
    </row>
    <row r="207" spans="1:19" s="83" customFormat="1" hidden="1" x14ac:dyDescent="0.25">
      <c r="D207" s="140"/>
      <c r="E207" s="140"/>
      <c r="F207" s="140"/>
      <c r="G207" s="140"/>
      <c r="H207" s="140"/>
      <c r="I207" s="140"/>
    </row>
    <row r="208" spans="1:19" s="83" customFormat="1" hidden="1" x14ac:dyDescent="0.25">
      <c r="D208" s="140"/>
      <c r="E208" s="140"/>
      <c r="F208" s="140"/>
      <c r="G208" s="140"/>
      <c r="H208" s="140"/>
      <c r="I208" s="140"/>
    </row>
    <row r="209" spans="4:9" s="83" customFormat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  <row r="404" spans="4:9" s="83" customFormat="1" x14ac:dyDescent="0.25">
      <c r="D404" s="140"/>
      <c r="E404" s="140"/>
      <c r="F404" s="140"/>
      <c r="G404" s="140"/>
      <c r="H404" s="140"/>
      <c r="I404" s="140"/>
    </row>
    <row r="405" spans="4:9" s="83" customFormat="1" x14ac:dyDescent="0.25">
      <c r="D405" s="140"/>
      <c r="E405" s="140"/>
      <c r="F405" s="140"/>
      <c r="G405" s="140"/>
      <c r="H405" s="140"/>
      <c r="I405" s="140"/>
    </row>
    <row r="406" spans="4:9" s="83" customFormat="1" x14ac:dyDescent="0.25">
      <c r="D406" s="140"/>
      <c r="E406" s="140"/>
      <c r="F406" s="140"/>
      <c r="G406" s="140"/>
      <c r="H406" s="140"/>
      <c r="I406" s="140"/>
    </row>
    <row r="407" spans="4:9" s="83" customFormat="1" x14ac:dyDescent="0.25">
      <c r="D407" s="140"/>
      <c r="E407" s="140"/>
      <c r="F407" s="140"/>
      <c r="G407" s="140"/>
      <c r="H407" s="140"/>
      <c r="I407" s="140"/>
    </row>
    <row r="408" spans="4:9" s="83" customFormat="1" x14ac:dyDescent="0.25">
      <c r="D408" s="140"/>
      <c r="E408" s="140"/>
      <c r="F408" s="140"/>
      <c r="G408" s="140"/>
      <c r="H408" s="140"/>
      <c r="I408" s="140"/>
    </row>
    <row r="409" spans="4:9" s="83" customFormat="1" x14ac:dyDescent="0.25">
      <c r="D409" s="140"/>
      <c r="E409" s="140"/>
      <c r="F409" s="140"/>
      <c r="G409" s="140"/>
      <c r="H409" s="140"/>
      <c r="I409" s="140"/>
    </row>
    <row r="410" spans="4:9" s="83" customFormat="1" x14ac:dyDescent="0.25">
      <c r="D410" s="140"/>
      <c r="E410" s="140"/>
      <c r="F410" s="140"/>
      <c r="G410" s="140"/>
      <c r="H410" s="140"/>
      <c r="I410" s="140"/>
    </row>
    <row r="411" spans="4:9" s="83" customFormat="1" x14ac:dyDescent="0.25">
      <c r="D411" s="140"/>
      <c r="E411" s="140"/>
      <c r="F411" s="140"/>
      <c r="G411" s="140"/>
      <c r="H411" s="140"/>
      <c r="I411" s="140"/>
    </row>
  </sheetData>
  <mergeCells count="12">
    <mergeCell ref="E198:I198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conditionalFormatting sqref="N40:N75 P40:P62 L15:L32 P15:P32 N15:N32 P73:P83 N77:N83 L40:L83 L90:L108 N90:N108 P90:P108">
    <cfRule type="cellIs" dxfId="15" priority="8" stopIfTrue="1" operator="lessThan">
      <formula>0</formula>
    </cfRule>
  </conditionalFormatting>
  <conditionalFormatting sqref="P63:P72">
    <cfRule type="cellIs" dxfId="14" priority="7" stopIfTrue="1" operator="lessThan">
      <formula>0</formula>
    </cfRule>
  </conditionalFormatting>
  <conditionalFormatting sqref="N76">
    <cfRule type="cellIs" dxfId="13" priority="6" stopIfTrue="1" operator="lessThan">
      <formula>0</formula>
    </cfRule>
  </conditionalFormatting>
  <conditionalFormatting sqref="D204 F204 H204">
    <cfRule type="cellIs" dxfId="12" priority="5" stopIfTrue="1" operator="equal">
      <formula>0</formula>
    </cfRule>
  </conditionalFormatting>
  <conditionalFormatting sqref="P84 N84 L84">
    <cfRule type="cellIs" dxfId="11" priority="4" stopIfTrue="1" operator="lessThan">
      <formula>0</formula>
    </cfRule>
  </conditionalFormatting>
  <conditionalFormatting sqref="P85 N85 L85">
    <cfRule type="cellIs" dxfId="10" priority="3" stopIfTrue="1" operator="lessThan">
      <formula>0</formula>
    </cfRule>
  </conditionalFormatting>
  <conditionalFormatting sqref="L33 P33 N33">
    <cfRule type="cellIs" dxfId="9" priority="2" stopIfTrue="1" operator="lessThan">
      <formula>0</formula>
    </cfRule>
  </conditionalFormatting>
  <conditionalFormatting sqref="L34:L39 P34:P39 N34:N39">
    <cfRule type="cellIs" dxfId="8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2"/>
  <sheetViews>
    <sheetView tabSelected="1" view="pageBreakPreview" zoomScale="75" zoomScaleNormal="85" zoomScaleSheetLayoutView="75" workbookViewId="0">
      <selection activeCell="A6" sqref="A6"/>
    </sheetView>
  </sheetViews>
  <sheetFormatPr defaultRowHeight="12.75" x14ac:dyDescent="0.25"/>
  <cols>
    <col min="1" max="1" width="47.85546875" style="2" customWidth="1"/>
    <col min="2" max="3" width="15.7109375" style="65" hidden="1" customWidth="1"/>
    <col min="4" max="9" width="21.7109375" style="140" customWidth="1"/>
    <col min="10" max="10" width="9.140625" style="83"/>
    <col min="11" max="11" width="13.5703125" style="83" hidden="1" customWidth="1"/>
    <col min="12" max="12" width="12.42578125" style="83" hidden="1" customWidth="1"/>
    <col min="13" max="13" width="13.5703125" style="83" hidden="1" customWidth="1"/>
    <col min="14" max="14" width="13.7109375" style="83" hidden="1" customWidth="1"/>
    <col min="15" max="15" width="13.5703125" style="83" hidden="1" customWidth="1"/>
    <col min="16" max="16" width="12.42578125" style="83" hidden="1" customWidth="1"/>
    <col min="17" max="19" width="9.140625" style="83"/>
    <col min="20" max="16384" width="9.140625" style="2"/>
  </cols>
  <sheetData>
    <row r="1" spans="1:19" ht="12.75" customHeight="1" x14ac:dyDescent="0.25">
      <c r="A1" s="220" t="s">
        <v>146</v>
      </c>
      <c r="B1" s="220"/>
      <c r="C1" s="220"/>
      <c r="D1" s="220"/>
      <c r="E1" s="220"/>
      <c r="F1" s="220"/>
      <c r="G1" s="220"/>
      <c r="H1" s="220"/>
      <c r="I1" s="220"/>
    </row>
    <row r="2" spans="1:19" ht="12.75" customHeight="1" x14ac:dyDescent="0.25">
      <c r="A2" s="220" t="s">
        <v>0</v>
      </c>
      <c r="B2" s="220"/>
      <c r="C2" s="220"/>
      <c r="D2" s="220"/>
      <c r="E2" s="220"/>
      <c r="F2" s="220"/>
      <c r="G2" s="220"/>
      <c r="H2" s="220"/>
      <c r="I2" s="220"/>
    </row>
    <row r="3" spans="1:19" ht="12.75" customHeight="1" x14ac:dyDescent="0.25">
      <c r="A3" s="220" t="s">
        <v>73</v>
      </c>
      <c r="B3" s="220"/>
      <c r="C3" s="220"/>
      <c r="D3" s="220"/>
      <c r="E3" s="220"/>
      <c r="F3" s="220"/>
      <c r="G3" s="220"/>
      <c r="H3" s="220"/>
      <c r="I3" s="220"/>
    </row>
    <row r="4" spans="1:19" ht="12.75" customHeight="1" x14ac:dyDescent="0.25">
      <c r="A4" s="220" t="s">
        <v>74</v>
      </c>
      <c r="B4" s="220"/>
      <c r="C4" s="220"/>
      <c r="D4" s="220"/>
      <c r="E4" s="220"/>
      <c r="F4" s="220"/>
      <c r="G4" s="220"/>
      <c r="H4" s="220"/>
      <c r="I4" s="220"/>
    </row>
    <row r="5" spans="1:19" ht="12.75" customHeight="1" x14ac:dyDescent="0.25">
      <c r="A5" s="220" t="s">
        <v>159</v>
      </c>
      <c r="B5" s="220"/>
      <c r="C5" s="220"/>
      <c r="D5" s="220"/>
      <c r="E5" s="220"/>
      <c r="F5" s="220"/>
      <c r="G5" s="220"/>
      <c r="H5" s="220"/>
      <c r="I5" s="220"/>
    </row>
    <row r="6" spans="1:19" x14ac:dyDescent="0.25">
      <c r="A6" s="3"/>
      <c r="D6" s="131"/>
      <c r="E6" s="131"/>
      <c r="F6" s="131"/>
      <c r="G6" s="131"/>
      <c r="H6" s="131"/>
      <c r="I6" s="131"/>
    </row>
    <row r="7" spans="1:19" s="194" customFormat="1" ht="42.75" customHeight="1" x14ac:dyDescent="0.25">
      <c r="A7" s="221" t="s">
        <v>76</v>
      </c>
      <c r="B7" s="221"/>
      <c r="C7" s="221"/>
      <c r="D7" s="221"/>
      <c r="E7" s="221"/>
      <c r="F7" s="221"/>
      <c r="G7" s="221"/>
      <c r="H7" s="221"/>
      <c r="I7" s="221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19" s="194" customFormat="1" x14ac:dyDescent="0.25">
      <c r="A8" s="7"/>
      <c r="B8" s="63"/>
      <c r="C8" s="63"/>
      <c r="D8" s="132"/>
      <c r="E8" s="132"/>
      <c r="F8" s="132"/>
      <c r="G8" s="132"/>
      <c r="H8" s="132"/>
      <c r="I8" s="132"/>
      <c r="J8" s="123"/>
      <c r="K8" s="123"/>
      <c r="L8" s="123"/>
      <c r="M8" s="123"/>
      <c r="N8" s="123"/>
      <c r="O8" s="123"/>
      <c r="P8" s="123"/>
      <c r="Q8" s="123"/>
      <c r="R8" s="123"/>
      <c r="S8" s="123"/>
    </row>
    <row r="9" spans="1:19" s="194" customFormat="1" ht="15.75" customHeight="1" thickBot="1" x14ac:dyDescent="0.3">
      <c r="A9" s="222" t="s">
        <v>1</v>
      </c>
      <c r="B9" s="222"/>
      <c r="C9" s="222"/>
      <c r="D9" s="222"/>
      <c r="E9" s="222"/>
      <c r="F9" s="222"/>
      <c r="G9" s="222"/>
      <c r="H9" s="222"/>
      <c r="I9" s="222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spans="1:19" s="194" customFormat="1" ht="13.5" customHeight="1" thickBot="1" x14ac:dyDescent="0.3">
      <c r="A10" s="223" t="s">
        <v>2</v>
      </c>
      <c r="B10" s="61"/>
      <c r="C10" s="61"/>
      <c r="D10" s="228" t="s">
        <v>3</v>
      </c>
      <c r="E10" s="229"/>
      <c r="F10" s="228" t="s">
        <v>46</v>
      </c>
      <c r="G10" s="229"/>
      <c r="H10" s="228" t="s">
        <v>75</v>
      </c>
      <c r="I10" s="229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19" s="194" customFormat="1" ht="56.25" customHeight="1" thickBot="1" x14ac:dyDescent="0.3">
      <c r="A11" s="224"/>
      <c r="B11" s="62"/>
      <c r="C11" s="62"/>
      <c r="D11" s="133" t="s">
        <v>4</v>
      </c>
      <c r="E11" s="134" t="s">
        <v>5</v>
      </c>
      <c r="F11" s="133" t="s">
        <v>4</v>
      </c>
      <c r="G11" s="134" t="s">
        <v>5</v>
      </c>
      <c r="H11" s="133" t="s">
        <v>4</v>
      </c>
      <c r="I11" s="134" t="s">
        <v>5</v>
      </c>
      <c r="J11" s="123"/>
      <c r="K11" s="123"/>
      <c r="L11" s="123"/>
      <c r="M11" s="123"/>
      <c r="N11" s="123"/>
      <c r="O11" s="123"/>
      <c r="P11" s="123"/>
      <c r="Q11" s="123"/>
      <c r="R11" s="123"/>
      <c r="S11" s="123"/>
    </row>
    <row r="12" spans="1:19" s="194" customFormat="1" ht="21" customHeight="1" x14ac:dyDescent="0.25">
      <c r="A12" s="11" t="s">
        <v>6</v>
      </c>
      <c r="B12" s="63"/>
      <c r="C12" s="63"/>
      <c r="D12" s="135"/>
      <c r="E12" s="135"/>
      <c r="F12" s="135"/>
      <c r="G12" s="135"/>
      <c r="H12" s="135"/>
      <c r="I12" s="135"/>
      <c r="J12" s="123"/>
      <c r="K12" s="123"/>
      <c r="L12" s="123"/>
      <c r="M12" s="123"/>
      <c r="N12" s="123"/>
      <c r="O12" s="123"/>
      <c r="P12" s="123"/>
      <c r="Q12" s="123"/>
      <c r="R12" s="123"/>
      <c r="S12" s="123"/>
    </row>
    <row r="13" spans="1:19" s="194" customFormat="1" ht="12.75" customHeight="1" thickBot="1" x14ac:dyDescent="0.3">
      <c r="B13" s="63"/>
      <c r="C13" s="63"/>
      <c r="D13" s="135"/>
      <c r="E13" s="135"/>
      <c r="F13" s="135"/>
      <c r="G13" s="135"/>
      <c r="H13" s="135"/>
      <c r="I13" s="135"/>
      <c r="J13" s="123"/>
      <c r="K13" s="123"/>
      <c r="L13" s="123"/>
      <c r="M13" s="123"/>
      <c r="N13" s="123"/>
      <c r="O13" s="123"/>
      <c r="P13" s="123"/>
      <c r="Q13" s="123"/>
      <c r="R13" s="123"/>
      <c r="S13" s="123"/>
    </row>
    <row r="14" spans="1:19" s="14" customFormat="1" ht="33.75" customHeight="1" x14ac:dyDescent="0.25">
      <c r="A14" s="12" t="s">
        <v>7</v>
      </c>
      <c r="B14" s="66"/>
      <c r="C14" s="66"/>
      <c r="D14" s="136">
        <f t="shared" ref="D14:I14" si="0">SUM(D15:D16)</f>
        <v>1608.2999999999997</v>
      </c>
      <c r="E14" s="136">
        <f t="shared" si="0"/>
        <v>231.7</v>
      </c>
      <c r="F14" s="136">
        <f t="shared" si="0"/>
        <v>2890</v>
      </c>
      <c r="G14" s="136">
        <f t="shared" si="0"/>
        <v>234.4</v>
      </c>
      <c r="H14" s="136">
        <f t="shared" si="0"/>
        <v>2907.8</v>
      </c>
      <c r="I14" s="136">
        <f t="shared" si="0"/>
        <v>235.8</v>
      </c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spans="1:19" s="16" customFormat="1" ht="47.25" customHeight="1" x14ac:dyDescent="0.25">
      <c r="A15" s="85" t="s">
        <v>8</v>
      </c>
      <c r="B15" s="67">
        <v>902</v>
      </c>
      <c r="C15" s="67" t="s">
        <v>48</v>
      </c>
      <c r="D15" s="154">
        <f>2991.7-134.4-1249</f>
        <v>1608.2999999999997</v>
      </c>
      <c r="E15" s="154">
        <v>231.7</v>
      </c>
      <c r="F15" s="154">
        <f>2922.4-32.4</f>
        <v>2890</v>
      </c>
      <c r="G15" s="154">
        <v>234.4</v>
      </c>
      <c r="H15" s="154">
        <f>2093.3+814.5</f>
        <v>2907.8</v>
      </c>
      <c r="I15" s="154">
        <v>235.8</v>
      </c>
      <c r="J15" s="83"/>
      <c r="K15" s="83">
        <f>D15*7.5/92.5</f>
        <v>130.40270270270267</v>
      </c>
      <c r="L15" s="83">
        <f>E15-K15</f>
        <v>101.29729729729732</v>
      </c>
      <c r="M15" s="83">
        <f>F15*7.5/92.5</f>
        <v>234.32432432432432</v>
      </c>
      <c r="N15" s="83">
        <f>G15-M15</f>
        <v>7.5675675675682896E-2</v>
      </c>
      <c r="O15" s="83">
        <f>H15*7.5/92.5</f>
        <v>235.76756756756757</v>
      </c>
      <c r="P15" s="83">
        <f>I15-O15</f>
        <v>3.2432432432443647E-2</v>
      </c>
      <c r="Q15" s="83"/>
      <c r="R15" s="83"/>
      <c r="S15" s="83"/>
    </row>
    <row r="16" spans="1:19" s="16" customFormat="1" ht="13.5" thickBot="1" x14ac:dyDescent="0.3">
      <c r="A16" s="21"/>
      <c r="B16" s="68"/>
      <c r="C16" s="68"/>
      <c r="D16" s="139"/>
      <c r="E16" s="139"/>
      <c r="F16" s="139"/>
      <c r="G16" s="139"/>
      <c r="H16" s="139"/>
      <c r="I16" s="139"/>
      <c r="J16" s="83"/>
      <c r="K16" s="83"/>
      <c r="L16" s="83"/>
      <c r="M16" s="83"/>
      <c r="N16" s="83"/>
      <c r="O16" s="83"/>
      <c r="P16" s="83"/>
      <c r="Q16" s="83"/>
      <c r="R16" s="83"/>
      <c r="S16" s="83"/>
    </row>
    <row r="17" spans="1:19" s="16" customFormat="1" ht="13.5" thickBot="1" x14ac:dyDescent="0.3">
      <c r="A17" s="23"/>
      <c r="B17" s="65"/>
      <c r="C17" s="65"/>
      <c r="D17" s="140"/>
      <c r="E17" s="140"/>
      <c r="F17" s="140"/>
      <c r="G17" s="140"/>
      <c r="H17" s="140"/>
      <c r="I17" s="140"/>
      <c r="J17" s="83"/>
      <c r="K17" s="83"/>
      <c r="L17" s="83"/>
      <c r="M17" s="83"/>
      <c r="N17" s="83"/>
      <c r="O17" s="83"/>
      <c r="P17" s="83"/>
      <c r="Q17" s="83"/>
      <c r="R17" s="83"/>
      <c r="S17" s="83"/>
    </row>
    <row r="18" spans="1:19" s="14" customFormat="1" ht="33.75" customHeight="1" x14ac:dyDescent="0.25">
      <c r="A18" s="12" t="s">
        <v>9</v>
      </c>
      <c r="B18" s="66"/>
      <c r="C18" s="195"/>
      <c r="D18" s="141">
        <f t="shared" ref="D18:I18" si="1">SUM(D19:D41)</f>
        <v>273762</v>
      </c>
      <c r="E18" s="141">
        <f t="shared" si="1"/>
        <v>20339.400000000001</v>
      </c>
      <c r="F18" s="141">
        <f t="shared" si="1"/>
        <v>116255.60000000002</v>
      </c>
      <c r="G18" s="141">
        <f t="shared" si="1"/>
        <v>11943.8</v>
      </c>
      <c r="H18" s="141">
        <f t="shared" si="1"/>
        <v>289874.30000000005</v>
      </c>
      <c r="I18" s="141">
        <f t="shared" si="1"/>
        <v>20249.7</v>
      </c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spans="1:19" s="25" customFormat="1" ht="64.5" customHeight="1" x14ac:dyDescent="0.25">
      <c r="A19" s="86" t="s">
        <v>10</v>
      </c>
      <c r="B19" s="69">
        <v>907</v>
      </c>
      <c r="C19" s="196" t="s">
        <v>49</v>
      </c>
      <c r="D19" s="154">
        <f>3098.6-17.5</f>
        <v>3081.1</v>
      </c>
      <c r="E19" s="154">
        <v>249.9</v>
      </c>
      <c r="F19" s="154">
        <f>3222.5-18.2</f>
        <v>3204.3</v>
      </c>
      <c r="G19" s="154">
        <f>259.8+0.1</f>
        <v>259.90000000000003</v>
      </c>
      <c r="H19" s="154">
        <f>3351.4-18.9</f>
        <v>3332.5</v>
      </c>
      <c r="I19" s="154">
        <f>270.2+0.1</f>
        <v>270.3</v>
      </c>
      <c r="J19" s="83"/>
      <c r="K19" s="83">
        <f t="shared" ref="K19:K30" si="2">D19*7.5/92.5</f>
        <v>249.81891891891891</v>
      </c>
      <c r="L19" s="83">
        <f t="shared" ref="L19:L30" si="3">E19-K19</f>
        <v>8.1081081081094908E-2</v>
      </c>
      <c r="M19" s="83">
        <f t="shared" ref="M19:M30" si="4">F19*7.5/92.5</f>
        <v>259.80810810810812</v>
      </c>
      <c r="N19" s="83">
        <f t="shared" ref="N19:N30" si="5">G19-M19</f>
        <v>9.1891891891918931E-2</v>
      </c>
      <c r="O19" s="83">
        <f t="shared" ref="O19:O30" si="6">H19*7.5/92.5</f>
        <v>270.20270270270271</v>
      </c>
      <c r="P19" s="83">
        <f t="shared" ref="P19:P30" si="7">I19-O19</f>
        <v>9.7297297297302521E-2</v>
      </c>
      <c r="Q19" s="83"/>
      <c r="R19" s="83"/>
      <c r="S19" s="83"/>
    </row>
    <row r="20" spans="1:19" s="18" customFormat="1" ht="66" customHeight="1" x14ac:dyDescent="0.25">
      <c r="A20" s="119" t="s">
        <v>11</v>
      </c>
      <c r="B20" s="100">
        <v>907</v>
      </c>
      <c r="C20" s="197" t="s">
        <v>50</v>
      </c>
      <c r="D20" s="143">
        <f>31477.3+2821.6</f>
        <v>34298.9</v>
      </c>
      <c r="E20" s="143"/>
      <c r="F20" s="143">
        <f>32355.9+1943</f>
        <v>34298.9</v>
      </c>
      <c r="G20" s="143"/>
      <c r="H20" s="143">
        <f>5500.5+29603.9</f>
        <v>35104.400000000001</v>
      </c>
      <c r="I20" s="143"/>
      <c r="J20" s="125"/>
      <c r="K20" s="83">
        <f t="shared" si="2"/>
        <v>2780.991891891892</v>
      </c>
      <c r="L20" s="83">
        <f t="shared" si="3"/>
        <v>-2780.991891891892</v>
      </c>
      <c r="M20" s="83">
        <f t="shared" si="4"/>
        <v>2780.991891891892</v>
      </c>
      <c r="N20" s="83">
        <f t="shared" si="5"/>
        <v>-2780.991891891892</v>
      </c>
      <c r="O20" s="83">
        <f t="shared" si="6"/>
        <v>2846.3027027027028</v>
      </c>
      <c r="P20" s="83">
        <f t="shared" si="7"/>
        <v>-2846.3027027027028</v>
      </c>
      <c r="Q20" s="125"/>
      <c r="R20" s="125"/>
      <c r="S20" s="125"/>
    </row>
    <row r="21" spans="1:19" s="18" customFormat="1" ht="129.75" customHeight="1" x14ac:dyDescent="0.25">
      <c r="A21" s="120" t="s">
        <v>68</v>
      </c>
      <c r="B21" s="97"/>
      <c r="C21" s="97"/>
      <c r="D21" s="143">
        <v>1352.8</v>
      </c>
      <c r="E21" s="143">
        <v>109.7</v>
      </c>
      <c r="F21" s="143">
        <v>1352.8</v>
      </c>
      <c r="G21" s="143">
        <v>109.7</v>
      </c>
      <c r="H21" s="143">
        <v>1352.8</v>
      </c>
      <c r="I21" s="143">
        <v>109.7</v>
      </c>
      <c r="J21" s="125"/>
      <c r="K21" s="83">
        <f t="shared" si="2"/>
        <v>109.68648648648649</v>
      </c>
      <c r="L21" s="83">
        <f t="shared" si="3"/>
        <v>1.3513513513515818E-2</v>
      </c>
      <c r="M21" s="83">
        <f t="shared" si="4"/>
        <v>109.68648648648649</v>
      </c>
      <c r="N21" s="83">
        <f t="shared" si="5"/>
        <v>1.3513513513515818E-2</v>
      </c>
      <c r="O21" s="83">
        <f t="shared" si="6"/>
        <v>109.68648648648649</v>
      </c>
      <c r="P21" s="83">
        <f t="shared" si="7"/>
        <v>1.3513513513515818E-2</v>
      </c>
      <c r="Q21" s="125"/>
      <c r="R21" s="125"/>
      <c r="S21" s="125"/>
    </row>
    <row r="22" spans="1:19" s="18" customFormat="1" ht="129.75" customHeight="1" x14ac:dyDescent="0.25">
      <c r="A22" s="120" t="s">
        <v>113</v>
      </c>
      <c r="D22" s="143">
        <v>5099.3999999999996</v>
      </c>
      <c r="E22" s="143"/>
      <c r="F22" s="143">
        <v>5026.8999999999996</v>
      </c>
      <c r="G22" s="143"/>
      <c r="H22" s="143">
        <v>5026.8999999999996</v>
      </c>
      <c r="I22" s="143"/>
      <c r="J22" s="125"/>
      <c r="K22" s="83">
        <f t="shared" si="2"/>
        <v>413.46486486486486</v>
      </c>
      <c r="L22" s="83">
        <f t="shared" si="3"/>
        <v>-413.46486486486486</v>
      </c>
      <c r="M22" s="83">
        <f t="shared" si="4"/>
        <v>407.58648648648648</v>
      </c>
      <c r="N22" s="83">
        <f t="shared" si="5"/>
        <v>-407.58648648648648</v>
      </c>
      <c r="O22" s="83">
        <f t="shared" si="6"/>
        <v>407.58648648648648</v>
      </c>
      <c r="P22" s="83">
        <f t="shared" si="7"/>
        <v>-407.58648648648648</v>
      </c>
      <c r="Q22" s="125"/>
      <c r="R22" s="125"/>
      <c r="S22" s="125"/>
    </row>
    <row r="23" spans="1:19" s="18" customFormat="1" ht="129.75" customHeight="1" x14ac:dyDescent="0.25">
      <c r="A23" s="121" t="s">
        <v>114</v>
      </c>
      <c r="B23" s="122"/>
      <c r="C23" s="122"/>
      <c r="D23" s="149">
        <v>79625.2</v>
      </c>
      <c r="E23" s="149">
        <f>6456+0.1</f>
        <v>6456.1</v>
      </c>
      <c r="F23" s="149"/>
      <c r="G23" s="149"/>
      <c r="H23" s="149"/>
      <c r="I23" s="149"/>
      <c r="J23" s="125"/>
      <c r="K23" s="83">
        <f t="shared" si="2"/>
        <v>6456.0972972972977</v>
      </c>
      <c r="L23" s="83">
        <f t="shared" si="3"/>
        <v>2.7027027026633732E-3</v>
      </c>
      <c r="M23" s="83">
        <f t="shared" si="4"/>
        <v>0</v>
      </c>
      <c r="N23" s="83">
        <f t="shared" si="5"/>
        <v>0</v>
      </c>
      <c r="O23" s="83">
        <f t="shared" si="6"/>
        <v>0</v>
      </c>
      <c r="P23" s="83">
        <f t="shared" si="7"/>
        <v>0</v>
      </c>
      <c r="Q23" s="125"/>
      <c r="R23" s="125"/>
      <c r="S23" s="125"/>
    </row>
    <row r="24" spans="1:19" s="18" customFormat="1" ht="129.75" customHeight="1" x14ac:dyDescent="0.25">
      <c r="A24" s="121" t="s">
        <v>125</v>
      </c>
      <c r="B24" s="122"/>
      <c r="C24" s="122"/>
      <c r="D24" s="149">
        <v>59816.6</v>
      </c>
      <c r="E24" s="149">
        <f>6979.5-2129.5</f>
        <v>4850</v>
      </c>
      <c r="F24" s="149"/>
      <c r="G24" s="149"/>
      <c r="H24" s="149"/>
      <c r="I24" s="149"/>
      <c r="J24" s="125"/>
      <c r="K24" s="83">
        <f t="shared" si="2"/>
        <v>4849.9945945945947</v>
      </c>
      <c r="L24" s="83">
        <f t="shared" si="3"/>
        <v>5.4054054053267464E-3</v>
      </c>
      <c r="M24" s="83">
        <f t="shared" si="4"/>
        <v>0</v>
      </c>
      <c r="N24" s="83">
        <f t="shared" si="5"/>
        <v>0</v>
      </c>
      <c r="O24" s="83">
        <f t="shared" si="6"/>
        <v>0</v>
      </c>
      <c r="P24" s="83">
        <f t="shared" si="7"/>
        <v>0</v>
      </c>
      <c r="Q24" s="125"/>
      <c r="R24" s="125"/>
      <c r="S24" s="125"/>
    </row>
    <row r="25" spans="1:19" s="18" customFormat="1" ht="129.75" customHeight="1" x14ac:dyDescent="0.25">
      <c r="A25" s="120" t="s">
        <v>115</v>
      </c>
      <c r="B25" s="97"/>
      <c r="C25" s="97"/>
      <c r="D25" s="143">
        <v>13653</v>
      </c>
      <c r="E25" s="143">
        <v>1107</v>
      </c>
      <c r="F25" s="143"/>
      <c r="G25" s="143"/>
      <c r="H25" s="143"/>
      <c r="I25" s="143"/>
      <c r="J25" s="125"/>
      <c r="K25" s="83">
        <f t="shared" si="2"/>
        <v>1107</v>
      </c>
      <c r="L25" s="83">
        <f t="shared" si="3"/>
        <v>0</v>
      </c>
      <c r="M25" s="83">
        <f t="shared" si="4"/>
        <v>0</v>
      </c>
      <c r="N25" s="83">
        <f t="shared" si="5"/>
        <v>0</v>
      </c>
      <c r="O25" s="83">
        <f t="shared" si="6"/>
        <v>0</v>
      </c>
      <c r="P25" s="83">
        <f t="shared" si="7"/>
        <v>0</v>
      </c>
      <c r="Q25" s="125"/>
      <c r="R25" s="125"/>
      <c r="S25" s="125"/>
    </row>
    <row r="26" spans="1:19" s="18" customFormat="1" ht="84" customHeight="1" x14ac:dyDescent="0.25">
      <c r="A26" s="191" t="s">
        <v>134</v>
      </c>
      <c r="B26" s="187">
        <v>10692.7</v>
      </c>
      <c r="C26" s="198" t="s">
        <v>134</v>
      </c>
      <c r="D26" s="187">
        <v>10692.7</v>
      </c>
      <c r="E26" s="143">
        <v>867</v>
      </c>
      <c r="F26" s="143"/>
      <c r="G26" s="143"/>
      <c r="H26" s="143"/>
      <c r="I26" s="143"/>
      <c r="J26" s="125"/>
      <c r="K26" s="83"/>
      <c r="L26" s="83"/>
      <c r="M26" s="83"/>
      <c r="N26" s="83"/>
      <c r="O26" s="83"/>
      <c r="P26" s="83"/>
      <c r="Q26" s="125"/>
      <c r="R26" s="125"/>
      <c r="S26" s="125"/>
    </row>
    <row r="27" spans="1:19" s="18" customFormat="1" ht="85.5" customHeight="1" x14ac:dyDescent="0.25">
      <c r="A27" s="120" t="s">
        <v>116</v>
      </c>
      <c r="B27" s="97"/>
      <c r="C27" s="97"/>
      <c r="D27" s="143">
        <v>64287.5</v>
      </c>
      <c r="E27" s="143">
        <v>5212.5</v>
      </c>
      <c r="F27" s="143"/>
      <c r="G27" s="143"/>
      <c r="H27" s="143"/>
      <c r="I27" s="143"/>
      <c r="J27" s="125"/>
      <c r="K27" s="83">
        <f t="shared" si="2"/>
        <v>5212.5</v>
      </c>
      <c r="L27" s="83">
        <f t="shared" si="3"/>
        <v>0</v>
      </c>
      <c r="M27" s="83">
        <f t="shared" si="4"/>
        <v>0</v>
      </c>
      <c r="N27" s="83">
        <f t="shared" si="5"/>
        <v>0</v>
      </c>
      <c r="O27" s="83">
        <f t="shared" si="6"/>
        <v>0</v>
      </c>
      <c r="P27" s="83">
        <f t="shared" si="7"/>
        <v>0</v>
      </c>
      <c r="Q27" s="125"/>
      <c r="R27" s="125"/>
      <c r="S27" s="125"/>
    </row>
    <row r="28" spans="1:19" s="18" customFormat="1" ht="85.5" customHeight="1" x14ac:dyDescent="0.25">
      <c r="A28" s="120" t="s">
        <v>121</v>
      </c>
      <c r="B28" s="97"/>
      <c r="C28" s="97"/>
      <c r="D28" s="143"/>
      <c r="E28" s="143"/>
      <c r="F28" s="143">
        <v>67620.5</v>
      </c>
      <c r="G28" s="143">
        <v>5482.8</v>
      </c>
      <c r="H28" s="143">
        <v>235057.7</v>
      </c>
      <c r="I28" s="143">
        <v>19058.8</v>
      </c>
      <c r="J28" s="125"/>
      <c r="K28" s="83">
        <f t="shared" si="2"/>
        <v>0</v>
      </c>
      <c r="L28" s="83">
        <f t="shared" si="3"/>
        <v>0</v>
      </c>
      <c r="M28" s="83">
        <f t="shared" si="4"/>
        <v>5482.7432432432433</v>
      </c>
      <c r="N28" s="83">
        <f t="shared" si="5"/>
        <v>5.6756756756840332E-2</v>
      </c>
      <c r="O28" s="83">
        <f t="shared" si="6"/>
        <v>19058.732432432433</v>
      </c>
      <c r="P28" s="83">
        <f t="shared" si="7"/>
        <v>6.756756756658433E-2</v>
      </c>
      <c r="Q28" s="125"/>
      <c r="R28" s="125"/>
      <c r="S28" s="125"/>
    </row>
    <row r="29" spans="1:19" s="18" customFormat="1" ht="85.5" customHeight="1" x14ac:dyDescent="0.25">
      <c r="A29" s="120" t="s">
        <v>122</v>
      </c>
      <c r="B29" s="97"/>
      <c r="C29" s="97"/>
      <c r="D29" s="143"/>
      <c r="E29" s="143"/>
      <c r="F29" s="143">
        <v>1042.5999999999999</v>
      </c>
      <c r="G29" s="143">
        <f>84.6</f>
        <v>84.6</v>
      </c>
      <c r="H29" s="143"/>
      <c r="I29" s="143"/>
      <c r="J29" s="125"/>
      <c r="K29" s="83">
        <f t="shared" si="2"/>
        <v>0</v>
      </c>
      <c r="L29" s="83">
        <f t="shared" si="3"/>
        <v>0</v>
      </c>
      <c r="M29" s="83">
        <f t="shared" si="4"/>
        <v>84.535135135135121</v>
      </c>
      <c r="N29" s="83">
        <f t="shared" si="5"/>
        <v>6.4864864864873084E-2</v>
      </c>
      <c r="O29" s="83">
        <f t="shared" si="6"/>
        <v>0</v>
      </c>
      <c r="P29" s="83">
        <f t="shared" si="7"/>
        <v>0</v>
      </c>
      <c r="Q29" s="125"/>
      <c r="R29" s="125"/>
      <c r="S29" s="125"/>
    </row>
    <row r="30" spans="1:19" s="18" customFormat="1" ht="50.25" customHeight="1" x14ac:dyDescent="0.25">
      <c r="A30" s="120" t="s">
        <v>123</v>
      </c>
      <c r="B30" s="97"/>
      <c r="C30" s="97"/>
      <c r="D30" s="143"/>
      <c r="E30" s="143"/>
      <c r="F30" s="143"/>
      <c r="G30" s="143"/>
      <c r="H30" s="143">
        <v>10000</v>
      </c>
      <c r="I30" s="143">
        <f>810.9</f>
        <v>810.9</v>
      </c>
      <c r="J30" s="125"/>
      <c r="K30" s="83">
        <f t="shared" si="2"/>
        <v>0</v>
      </c>
      <c r="L30" s="83">
        <f t="shared" si="3"/>
        <v>0</v>
      </c>
      <c r="M30" s="83">
        <f t="shared" si="4"/>
        <v>0</v>
      </c>
      <c r="N30" s="83">
        <f t="shared" si="5"/>
        <v>0</v>
      </c>
      <c r="O30" s="83">
        <f t="shared" si="6"/>
        <v>810.81081081081084</v>
      </c>
      <c r="P30" s="83">
        <f t="shared" si="7"/>
        <v>8.9189189189141871E-2</v>
      </c>
      <c r="Q30" s="125"/>
      <c r="R30" s="125"/>
      <c r="S30" s="125"/>
    </row>
    <row r="31" spans="1:19" s="18" customFormat="1" ht="62.25" customHeight="1" x14ac:dyDescent="0.25">
      <c r="A31" s="93" t="s">
        <v>137</v>
      </c>
      <c r="B31" s="95">
        <v>1854.8</v>
      </c>
      <c r="C31" s="199" t="s">
        <v>137</v>
      </c>
      <c r="D31" s="15">
        <v>1854.8</v>
      </c>
      <c r="E31" s="143">
        <v>150.4</v>
      </c>
      <c r="F31" s="143">
        <v>3709.6</v>
      </c>
      <c r="G31" s="143">
        <v>300.8</v>
      </c>
      <c r="H31" s="143"/>
      <c r="I31" s="143"/>
      <c r="J31" s="125"/>
      <c r="K31" s="83"/>
      <c r="L31" s="83"/>
      <c r="M31" s="83"/>
      <c r="N31" s="83"/>
      <c r="O31" s="83"/>
      <c r="P31" s="83"/>
      <c r="Q31" s="125"/>
      <c r="R31" s="125"/>
      <c r="S31" s="125"/>
    </row>
    <row r="32" spans="1:19" s="18" customFormat="1" ht="85.5" customHeight="1" x14ac:dyDescent="0.25">
      <c r="A32" s="93" t="s">
        <v>140</v>
      </c>
      <c r="B32" s="95"/>
      <c r="C32" s="199"/>
      <c r="D32" s="15"/>
      <c r="E32" s="143">
        <v>822</v>
      </c>
      <c r="F32" s="143"/>
      <c r="G32" s="143">
        <v>962.3</v>
      </c>
      <c r="H32" s="143"/>
      <c r="I32" s="143"/>
      <c r="J32" s="125"/>
      <c r="K32" s="83"/>
      <c r="L32" s="83"/>
      <c r="M32" s="83"/>
      <c r="N32" s="83"/>
      <c r="O32" s="83"/>
      <c r="P32" s="83"/>
      <c r="Q32" s="125"/>
      <c r="R32" s="125"/>
      <c r="S32" s="125"/>
    </row>
    <row r="33" spans="1:19" s="18" customFormat="1" ht="85.5" hidden="1" customHeight="1" x14ac:dyDescent="0.25">
      <c r="A33" s="93" t="s">
        <v>140</v>
      </c>
      <c r="B33" s="97"/>
      <c r="C33" s="97"/>
      <c r="D33" s="143"/>
      <c r="E33" s="143">
        <f>123.1-123.1</f>
        <v>0</v>
      </c>
      <c r="F33" s="143"/>
      <c r="G33" s="143"/>
      <c r="H33" s="143"/>
      <c r="I33" s="143"/>
      <c r="J33" s="125"/>
      <c r="K33" s="83">
        <f t="shared" ref="K33:K34" si="8">D33*7.5/92.5</f>
        <v>0</v>
      </c>
      <c r="L33" s="83">
        <f t="shared" ref="L33:L34" si="9">E33-K33</f>
        <v>0</v>
      </c>
      <c r="M33" s="83">
        <f t="shared" ref="M33:M34" si="10">F33*7.5/92.5</f>
        <v>0</v>
      </c>
      <c r="N33" s="83">
        <f t="shared" ref="N33:N34" si="11">G33-M33</f>
        <v>0</v>
      </c>
      <c r="O33" s="83">
        <f t="shared" ref="O33:O34" si="12">H33*7.5/92.5</f>
        <v>0</v>
      </c>
      <c r="P33" s="83">
        <f t="shared" ref="P33:P34" si="13">I33-O33</f>
        <v>0</v>
      </c>
      <c r="Q33" s="125"/>
      <c r="R33" s="125"/>
      <c r="S33" s="125"/>
    </row>
    <row r="34" spans="1:19" s="18" customFormat="1" ht="85.5" hidden="1" customHeight="1" x14ac:dyDescent="0.25">
      <c r="A34" s="93" t="s">
        <v>140</v>
      </c>
      <c r="B34" s="97"/>
      <c r="C34" s="97"/>
      <c r="D34" s="143"/>
      <c r="E34" s="143">
        <f>102-102</f>
        <v>0</v>
      </c>
      <c r="F34" s="143"/>
      <c r="G34" s="143"/>
      <c r="H34" s="143"/>
      <c r="I34" s="143"/>
      <c r="J34" s="125"/>
      <c r="K34" s="83">
        <f t="shared" si="8"/>
        <v>0</v>
      </c>
      <c r="L34" s="83">
        <f t="shared" si="9"/>
        <v>0</v>
      </c>
      <c r="M34" s="83">
        <f t="shared" si="10"/>
        <v>0</v>
      </c>
      <c r="N34" s="83">
        <f t="shared" si="11"/>
        <v>0</v>
      </c>
      <c r="O34" s="83">
        <f t="shared" si="12"/>
        <v>0</v>
      </c>
      <c r="P34" s="83">
        <f t="shared" si="13"/>
        <v>0</v>
      </c>
      <c r="Q34" s="125"/>
      <c r="R34" s="125"/>
      <c r="S34" s="125"/>
    </row>
    <row r="35" spans="1:19" s="18" customFormat="1" ht="85.5" customHeight="1" x14ac:dyDescent="0.25">
      <c r="A35" s="200" t="s">
        <v>148</v>
      </c>
      <c r="D35" s="201"/>
      <c r="E35" s="201"/>
      <c r="F35" s="201"/>
      <c r="G35" s="201">
        <v>3123.9</v>
      </c>
      <c r="H35" s="201"/>
      <c r="I35" s="201"/>
      <c r="J35" s="125"/>
      <c r="K35" s="83"/>
      <c r="L35" s="83"/>
      <c r="M35" s="83"/>
      <c r="N35" s="83"/>
      <c r="O35" s="83"/>
      <c r="P35" s="83"/>
      <c r="Q35" s="125"/>
      <c r="R35" s="125"/>
      <c r="S35" s="125"/>
    </row>
    <row r="36" spans="1:19" s="18" customFormat="1" ht="85.5" customHeight="1" x14ac:dyDescent="0.25">
      <c r="A36" s="93" t="s">
        <v>152</v>
      </c>
      <c r="B36" s="202"/>
      <c r="C36" s="203"/>
      <c r="D36" s="143"/>
      <c r="E36" s="143"/>
      <c r="F36" s="143"/>
      <c r="G36" s="143">
        <v>951.9</v>
      </c>
      <c r="H36" s="143"/>
      <c r="I36" s="143"/>
      <c r="J36" s="125"/>
      <c r="K36" s="83"/>
      <c r="L36" s="83"/>
      <c r="M36" s="83"/>
      <c r="N36" s="83"/>
      <c r="O36" s="83"/>
      <c r="P36" s="83"/>
      <c r="Q36" s="125"/>
      <c r="R36" s="125"/>
      <c r="S36" s="125"/>
    </row>
    <row r="37" spans="1:19" s="18" customFormat="1" ht="85.5" customHeight="1" x14ac:dyDescent="0.25">
      <c r="A37" s="93" t="s">
        <v>153</v>
      </c>
      <c r="B37" s="202"/>
      <c r="C37" s="203"/>
      <c r="D37" s="143"/>
      <c r="E37" s="143"/>
      <c r="F37" s="143"/>
      <c r="G37" s="143">
        <v>342.8</v>
      </c>
      <c r="H37" s="143"/>
      <c r="I37" s="143"/>
      <c r="J37" s="125"/>
      <c r="K37" s="83"/>
      <c r="L37" s="83"/>
      <c r="M37" s="83"/>
      <c r="N37" s="83"/>
      <c r="O37" s="83"/>
      <c r="P37" s="83"/>
      <c r="Q37" s="125"/>
      <c r="R37" s="125"/>
      <c r="S37" s="125"/>
    </row>
    <row r="38" spans="1:19" s="18" customFormat="1" ht="85.5" customHeight="1" x14ac:dyDescent="0.25">
      <c r="A38" s="93" t="s">
        <v>154</v>
      </c>
      <c r="B38" s="202"/>
      <c r="C38" s="203"/>
      <c r="D38" s="143"/>
      <c r="E38" s="143"/>
      <c r="F38" s="143"/>
      <c r="G38" s="143">
        <v>90.8</v>
      </c>
      <c r="H38" s="143"/>
      <c r="I38" s="143"/>
      <c r="J38" s="125"/>
      <c r="K38" s="83"/>
      <c r="L38" s="83"/>
      <c r="M38" s="83"/>
      <c r="N38" s="83"/>
      <c r="O38" s="83"/>
      <c r="P38" s="83"/>
      <c r="Q38" s="125"/>
      <c r="R38" s="125"/>
      <c r="S38" s="125"/>
    </row>
    <row r="39" spans="1:19" s="18" customFormat="1" ht="85.5" customHeight="1" thickBot="1" x14ac:dyDescent="0.3">
      <c r="A39" s="93" t="s">
        <v>155</v>
      </c>
      <c r="B39" s="202"/>
      <c r="C39" s="203"/>
      <c r="D39" s="176"/>
      <c r="E39" s="176"/>
      <c r="F39" s="176"/>
      <c r="G39" s="176">
        <v>234.3</v>
      </c>
      <c r="H39" s="176"/>
      <c r="I39" s="176"/>
      <c r="J39" s="125"/>
      <c r="K39" s="83"/>
      <c r="L39" s="83"/>
      <c r="M39" s="83"/>
      <c r="N39" s="83"/>
      <c r="O39" s="83"/>
      <c r="P39" s="83"/>
      <c r="Q39" s="125"/>
      <c r="R39" s="125"/>
      <c r="S39" s="125"/>
    </row>
    <row r="40" spans="1:19" s="18" customFormat="1" ht="85.5" customHeight="1" thickBot="1" x14ac:dyDescent="0.3">
      <c r="A40" s="23" t="s">
        <v>158</v>
      </c>
      <c r="D40" s="218"/>
      <c r="E40" s="218">
        <f>514.8</f>
        <v>514.79999999999995</v>
      </c>
      <c r="F40" s="218"/>
      <c r="G40" s="218"/>
      <c r="H40" s="218"/>
      <c r="I40" s="218"/>
      <c r="J40" s="125"/>
      <c r="K40" s="83"/>
      <c r="L40" s="83"/>
      <c r="M40" s="83"/>
      <c r="N40" s="83"/>
      <c r="O40" s="83"/>
      <c r="P40" s="83"/>
      <c r="Q40" s="125"/>
      <c r="R40" s="125"/>
      <c r="S40" s="125"/>
    </row>
    <row r="41" spans="1:19" s="16" customFormat="1" ht="14.25" customHeight="1" thickBot="1" x14ac:dyDescent="0.3">
      <c r="A41" s="52"/>
      <c r="B41" s="80"/>
      <c r="C41" s="80"/>
      <c r="D41" s="153"/>
      <c r="E41" s="153"/>
      <c r="F41" s="153"/>
      <c r="G41" s="153"/>
      <c r="H41" s="153"/>
      <c r="I41" s="153"/>
      <c r="J41" s="83"/>
      <c r="K41" s="83"/>
      <c r="L41" s="83"/>
      <c r="M41" s="83"/>
      <c r="N41" s="83"/>
      <c r="O41" s="83"/>
      <c r="P41" s="83"/>
      <c r="Q41" s="83"/>
      <c r="R41" s="83"/>
      <c r="S41" s="83"/>
    </row>
    <row r="42" spans="1:19" s="16" customFormat="1" ht="13.5" thickBot="1" x14ac:dyDescent="0.3">
      <c r="A42" s="23"/>
      <c r="B42" s="65"/>
      <c r="C42" s="65"/>
      <c r="D42" s="140"/>
      <c r="E42" s="140"/>
      <c r="F42" s="140"/>
      <c r="G42" s="140"/>
      <c r="H42" s="140"/>
      <c r="I42" s="140"/>
      <c r="J42" s="83"/>
      <c r="K42" s="83"/>
      <c r="L42" s="83"/>
      <c r="M42" s="83"/>
      <c r="N42" s="83"/>
      <c r="O42" s="83"/>
      <c r="P42" s="83"/>
      <c r="Q42" s="83"/>
      <c r="R42" s="83"/>
      <c r="S42" s="83"/>
    </row>
    <row r="43" spans="1:19" s="14" customFormat="1" ht="45.75" customHeight="1" x14ac:dyDescent="0.25">
      <c r="A43" s="12" t="s">
        <v>12</v>
      </c>
      <c r="B43" s="66"/>
      <c r="C43" s="195"/>
      <c r="D43" s="136">
        <f t="shared" ref="D43:I43" si="14">SUM(D44:D91)</f>
        <v>274030</v>
      </c>
      <c r="E43" s="136">
        <f t="shared" si="14"/>
        <v>10409.700000000001</v>
      </c>
      <c r="F43" s="136">
        <f t="shared" si="14"/>
        <v>219122.4</v>
      </c>
      <c r="G43" s="136">
        <f t="shared" si="14"/>
        <v>10048.800000000001</v>
      </c>
      <c r="H43" s="136">
        <f t="shared" si="14"/>
        <v>114467.2</v>
      </c>
      <c r="I43" s="136">
        <f t="shared" si="14"/>
        <v>1958.6999999999996</v>
      </c>
      <c r="J43" s="124"/>
      <c r="K43" s="124"/>
      <c r="L43" s="124"/>
      <c r="M43" s="124"/>
      <c r="N43" s="124"/>
      <c r="O43" s="124"/>
      <c r="P43" s="124"/>
      <c r="Q43" s="124"/>
      <c r="R43" s="124"/>
      <c r="S43" s="124"/>
    </row>
    <row r="44" spans="1:19" s="23" customFormat="1" ht="65.25" customHeight="1" x14ac:dyDescent="0.25">
      <c r="A44" s="27" t="s">
        <v>13</v>
      </c>
      <c r="B44" s="71">
        <v>914</v>
      </c>
      <c r="C44" s="204" t="s">
        <v>51</v>
      </c>
      <c r="D44" s="154">
        <f>102.1-0.2</f>
        <v>101.89999999999999</v>
      </c>
      <c r="E44" s="154">
        <v>8.3000000000000007</v>
      </c>
      <c r="F44" s="154">
        <f>107.1-0.5</f>
        <v>106.6</v>
      </c>
      <c r="G44" s="154">
        <v>8.6999999999999993</v>
      </c>
      <c r="H44" s="154">
        <f>110.9-0.6</f>
        <v>110.30000000000001</v>
      </c>
      <c r="I44" s="154">
        <v>9</v>
      </c>
      <c r="J44" s="126"/>
      <c r="K44" s="83">
        <f t="shared" ref="K44:K82" si="15">D44*7.5/92.5</f>
        <v>8.262162162162161</v>
      </c>
      <c r="L44" s="83">
        <f t="shared" ref="L44:L82" si="16">E44-K44</f>
        <v>3.7837837837839672E-2</v>
      </c>
      <c r="M44" s="83">
        <f t="shared" ref="M44:M82" si="17">F44*7.5/92.5</f>
        <v>8.6432432432432424</v>
      </c>
      <c r="N44" s="83">
        <f t="shared" ref="N44:N82" si="18">G44-M44</f>
        <v>5.6756756756756843E-2</v>
      </c>
      <c r="O44" s="83">
        <f t="shared" ref="O44:O82" si="19">H44*7.5/92.5</f>
        <v>8.9432432432432449</v>
      </c>
      <c r="P44" s="83">
        <f t="shared" ref="P44:P82" si="20">I44-O44</f>
        <v>5.6756756756755067E-2</v>
      </c>
      <c r="Q44" s="126"/>
      <c r="R44" s="126"/>
      <c r="S44" s="126"/>
    </row>
    <row r="45" spans="1:19" s="23" customFormat="1" ht="68.25" customHeight="1" x14ac:dyDescent="0.25">
      <c r="A45" s="27" t="s">
        <v>14</v>
      </c>
      <c r="B45" s="71">
        <v>914</v>
      </c>
      <c r="C45" s="204" t="s">
        <v>51</v>
      </c>
      <c r="D45" s="154">
        <f>188.4-0.3</f>
        <v>188.1</v>
      </c>
      <c r="E45" s="154">
        <v>15.3</v>
      </c>
      <c r="F45" s="154">
        <f>198.8-1.1</f>
        <v>197.70000000000002</v>
      </c>
      <c r="G45" s="154">
        <v>16.100000000000001</v>
      </c>
      <c r="H45" s="154">
        <f>206.8-1.2</f>
        <v>205.60000000000002</v>
      </c>
      <c r="I45" s="154">
        <v>16.7</v>
      </c>
      <c r="J45" s="126"/>
      <c r="K45" s="83">
        <f t="shared" si="15"/>
        <v>15.251351351351351</v>
      </c>
      <c r="L45" s="83">
        <f t="shared" si="16"/>
        <v>4.8648648648649484E-2</v>
      </c>
      <c r="M45" s="83">
        <f t="shared" si="17"/>
        <v>16.029729729729731</v>
      </c>
      <c r="N45" s="83">
        <f t="shared" si="18"/>
        <v>7.0270270270270885E-2</v>
      </c>
      <c r="O45" s="83">
        <f t="shared" si="19"/>
        <v>16.670270270270272</v>
      </c>
      <c r="P45" s="83">
        <f t="shared" si="20"/>
        <v>2.9729729729726984E-2</v>
      </c>
      <c r="Q45" s="126"/>
      <c r="R45" s="126"/>
      <c r="S45" s="126"/>
    </row>
    <row r="46" spans="1:19" s="23" customFormat="1" ht="75.75" hidden="1" customHeight="1" x14ac:dyDescent="0.25">
      <c r="A46" s="27" t="s">
        <v>78</v>
      </c>
      <c r="B46" s="71">
        <v>914</v>
      </c>
      <c r="C46" s="204" t="s">
        <v>52</v>
      </c>
      <c r="D46" s="154">
        <f>11775.9-11775.9</f>
        <v>0</v>
      </c>
      <c r="E46" s="154"/>
      <c r="F46" s="154"/>
      <c r="G46" s="154"/>
      <c r="H46" s="154"/>
      <c r="I46" s="154"/>
      <c r="J46" s="126"/>
      <c r="K46" s="83">
        <f t="shared" si="15"/>
        <v>0</v>
      </c>
      <c r="L46" s="83">
        <f t="shared" si="16"/>
        <v>0</v>
      </c>
      <c r="M46" s="83">
        <f t="shared" si="17"/>
        <v>0</v>
      </c>
      <c r="N46" s="83">
        <f t="shared" si="18"/>
        <v>0</v>
      </c>
      <c r="O46" s="83">
        <f t="shared" si="19"/>
        <v>0</v>
      </c>
      <c r="P46" s="83">
        <f t="shared" si="20"/>
        <v>0</v>
      </c>
      <c r="Q46" s="126"/>
      <c r="R46" s="126"/>
      <c r="S46" s="126"/>
    </row>
    <row r="47" spans="1:19" s="23" customFormat="1" ht="87" customHeight="1" x14ac:dyDescent="0.25">
      <c r="A47" s="28" t="s">
        <v>15</v>
      </c>
      <c r="B47" s="67">
        <v>914</v>
      </c>
      <c r="C47" s="205" t="s">
        <v>53</v>
      </c>
      <c r="D47" s="143">
        <f>10570.1-10529.5</f>
        <v>40.600000000000364</v>
      </c>
      <c r="E47" s="154">
        <f>857.4-854.1</f>
        <v>3.2999999999999545</v>
      </c>
      <c r="F47" s="143">
        <v>10570.1</v>
      </c>
      <c r="G47" s="154">
        <v>857.4</v>
      </c>
      <c r="H47" s="143">
        <v>10570.1</v>
      </c>
      <c r="I47" s="154">
        <v>857.4</v>
      </c>
      <c r="J47" s="126"/>
      <c r="K47" s="83">
        <f t="shared" si="15"/>
        <v>3.2918918918919213</v>
      </c>
      <c r="L47" s="83">
        <f t="shared" si="16"/>
        <v>8.1081081080331963E-3</v>
      </c>
      <c r="M47" s="83">
        <f t="shared" si="17"/>
        <v>857.03513513513508</v>
      </c>
      <c r="N47" s="83">
        <f t="shared" si="18"/>
        <v>0.36486486486489866</v>
      </c>
      <c r="O47" s="83">
        <f t="shared" si="19"/>
        <v>857.03513513513508</v>
      </c>
      <c r="P47" s="83">
        <f t="shared" si="20"/>
        <v>0.36486486486489866</v>
      </c>
      <c r="Q47" s="126"/>
      <c r="R47" s="126"/>
      <c r="S47" s="126"/>
    </row>
    <row r="48" spans="1:19" s="23" customFormat="1" ht="45" customHeight="1" x14ac:dyDescent="0.25">
      <c r="A48" s="30" t="s">
        <v>81</v>
      </c>
      <c r="B48" s="72">
        <v>914</v>
      </c>
      <c r="C48" s="206" t="s">
        <v>52</v>
      </c>
      <c r="D48" s="157">
        <f>1339.3-209.2</f>
        <v>1130.0999999999999</v>
      </c>
      <c r="E48" s="138">
        <f>91.7-77.1</f>
        <v>14.600000000000009</v>
      </c>
      <c r="F48" s="157"/>
      <c r="G48" s="138"/>
      <c r="H48" s="157">
        <v>22593.7</v>
      </c>
      <c r="I48" s="138">
        <f>1832-1574.9</f>
        <v>257.09999999999991</v>
      </c>
      <c r="J48" s="126"/>
      <c r="K48" s="83">
        <f t="shared" si="15"/>
        <v>91.629729729729732</v>
      </c>
      <c r="L48" s="83">
        <f t="shared" si="16"/>
        <v>-77.029729729729723</v>
      </c>
      <c r="M48" s="83">
        <f t="shared" si="17"/>
        <v>0</v>
      </c>
      <c r="N48" s="83">
        <f t="shared" si="18"/>
        <v>0</v>
      </c>
      <c r="O48" s="83">
        <f t="shared" si="19"/>
        <v>1831.9216216216216</v>
      </c>
      <c r="P48" s="83">
        <f t="shared" si="20"/>
        <v>-1574.8216216216217</v>
      </c>
      <c r="Q48" s="126"/>
      <c r="R48" s="126"/>
      <c r="S48" s="126"/>
    </row>
    <row r="49" spans="1:19" s="23" customFormat="1" ht="64.5" hidden="1" customHeight="1" x14ac:dyDescent="0.25">
      <c r="A49" s="92" t="s">
        <v>60</v>
      </c>
      <c r="B49" s="70"/>
      <c r="C49" s="207"/>
      <c r="D49" s="157">
        <f>5061.8-5061.8</f>
        <v>0</v>
      </c>
      <c r="E49" s="157"/>
      <c r="F49" s="138"/>
      <c r="G49" s="138"/>
      <c r="H49" s="157"/>
      <c r="I49" s="138"/>
      <c r="J49" s="126"/>
      <c r="K49" s="83">
        <f t="shared" si="15"/>
        <v>0</v>
      </c>
      <c r="L49" s="83">
        <f t="shared" si="16"/>
        <v>0</v>
      </c>
      <c r="M49" s="83">
        <f t="shared" si="17"/>
        <v>0</v>
      </c>
      <c r="N49" s="83">
        <f t="shared" si="18"/>
        <v>0</v>
      </c>
      <c r="O49" s="83">
        <f t="shared" si="19"/>
        <v>0</v>
      </c>
      <c r="P49" s="83">
        <f t="shared" si="20"/>
        <v>0</v>
      </c>
      <c r="Q49" s="126"/>
      <c r="R49" s="126"/>
      <c r="S49" s="126"/>
    </row>
    <row r="50" spans="1:19" s="23" customFormat="1" ht="64.5" customHeight="1" x14ac:dyDescent="0.25">
      <c r="A50" s="31" t="s">
        <v>83</v>
      </c>
      <c r="B50" s="91"/>
      <c r="C50" s="207"/>
      <c r="D50" s="157"/>
      <c r="E50" s="157"/>
      <c r="F50" s="138">
        <v>2970</v>
      </c>
      <c r="G50" s="138">
        <v>30</v>
      </c>
      <c r="H50" s="138"/>
      <c r="I50" s="138"/>
      <c r="J50" s="126"/>
      <c r="K50" s="83">
        <f t="shared" si="15"/>
        <v>0</v>
      </c>
      <c r="L50" s="83">
        <f t="shared" si="16"/>
        <v>0</v>
      </c>
      <c r="M50" s="83">
        <f t="shared" ref="M50:M55" si="21">F50*1/99</f>
        <v>30</v>
      </c>
      <c r="N50" s="83">
        <f t="shared" si="18"/>
        <v>0</v>
      </c>
      <c r="O50" s="83">
        <f t="shared" si="19"/>
        <v>0</v>
      </c>
      <c r="P50" s="83">
        <f t="shared" si="20"/>
        <v>0</v>
      </c>
      <c r="Q50" s="126"/>
      <c r="R50" s="126"/>
      <c r="S50" s="126"/>
    </row>
    <row r="51" spans="1:19" s="23" customFormat="1" ht="64.5" customHeight="1" x14ac:dyDescent="0.25">
      <c r="A51" s="31" t="s">
        <v>84</v>
      </c>
      <c r="B51" s="91"/>
      <c r="C51" s="207"/>
      <c r="D51" s="157"/>
      <c r="E51" s="157"/>
      <c r="F51" s="138">
        <v>6138</v>
      </c>
      <c r="G51" s="138">
        <v>62</v>
      </c>
      <c r="H51" s="138"/>
      <c r="I51" s="138"/>
      <c r="J51" s="126"/>
      <c r="K51" s="83">
        <f t="shared" si="15"/>
        <v>0</v>
      </c>
      <c r="L51" s="83">
        <f t="shared" si="16"/>
        <v>0</v>
      </c>
      <c r="M51" s="83">
        <f t="shared" si="21"/>
        <v>62</v>
      </c>
      <c r="N51" s="83">
        <f>G51-M51</f>
        <v>0</v>
      </c>
      <c r="O51" s="83">
        <f t="shared" si="19"/>
        <v>0</v>
      </c>
      <c r="P51" s="83">
        <f t="shared" si="20"/>
        <v>0</v>
      </c>
      <c r="Q51" s="126"/>
      <c r="R51" s="126"/>
      <c r="S51" s="126"/>
    </row>
    <row r="52" spans="1:19" s="23" customFormat="1" ht="64.5" customHeight="1" x14ac:dyDescent="0.25">
      <c r="A52" s="31" t="s">
        <v>65</v>
      </c>
      <c r="B52" s="91"/>
      <c r="C52" s="207"/>
      <c r="D52" s="157"/>
      <c r="E52" s="157"/>
      <c r="F52" s="138">
        <v>7128</v>
      </c>
      <c r="G52" s="138">
        <v>72</v>
      </c>
      <c r="H52" s="138"/>
      <c r="I52" s="138"/>
      <c r="J52" s="126"/>
      <c r="K52" s="83">
        <f t="shared" si="15"/>
        <v>0</v>
      </c>
      <c r="L52" s="83">
        <f t="shared" si="16"/>
        <v>0</v>
      </c>
      <c r="M52" s="83">
        <f t="shared" si="21"/>
        <v>72</v>
      </c>
      <c r="N52" s="83">
        <f>G52-M52</f>
        <v>0</v>
      </c>
      <c r="O52" s="83">
        <f t="shared" si="19"/>
        <v>0</v>
      </c>
      <c r="P52" s="83">
        <f t="shared" si="20"/>
        <v>0</v>
      </c>
      <c r="Q52" s="126"/>
      <c r="R52" s="126"/>
      <c r="S52" s="126"/>
    </row>
    <row r="53" spans="1:19" s="23" customFormat="1" ht="64.5" customHeight="1" x14ac:dyDescent="0.25">
      <c r="A53" s="31" t="s">
        <v>85</v>
      </c>
      <c r="B53" s="91"/>
      <c r="C53" s="207"/>
      <c r="D53" s="157"/>
      <c r="E53" s="157"/>
      <c r="F53" s="138">
        <v>2178</v>
      </c>
      <c r="G53" s="138">
        <v>22</v>
      </c>
      <c r="H53" s="138"/>
      <c r="I53" s="138"/>
      <c r="J53" s="126"/>
      <c r="K53" s="83">
        <f t="shared" si="15"/>
        <v>0</v>
      </c>
      <c r="L53" s="83">
        <f t="shared" si="16"/>
        <v>0</v>
      </c>
      <c r="M53" s="83">
        <f t="shared" si="21"/>
        <v>22</v>
      </c>
      <c r="N53" s="83">
        <f>G53-M53</f>
        <v>0</v>
      </c>
      <c r="O53" s="83">
        <f t="shared" si="19"/>
        <v>0</v>
      </c>
      <c r="P53" s="83">
        <f t="shared" si="20"/>
        <v>0</v>
      </c>
      <c r="Q53" s="126"/>
      <c r="R53" s="126"/>
      <c r="S53" s="126"/>
    </row>
    <row r="54" spans="1:19" s="23" customFormat="1" ht="64.5" customHeight="1" x14ac:dyDescent="0.25">
      <c r="A54" s="31" t="s">
        <v>86</v>
      </c>
      <c r="B54" s="91"/>
      <c r="C54" s="207"/>
      <c r="D54" s="157"/>
      <c r="E54" s="157"/>
      <c r="F54" s="138">
        <v>3465</v>
      </c>
      <c r="G54" s="138">
        <v>35</v>
      </c>
      <c r="H54" s="138"/>
      <c r="I54" s="138"/>
      <c r="J54" s="126"/>
      <c r="K54" s="83">
        <f t="shared" si="15"/>
        <v>0</v>
      </c>
      <c r="L54" s="83">
        <f t="shared" si="16"/>
        <v>0</v>
      </c>
      <c r="M54" s="83">
        <f t="shared" si="21"/>
        <v>35</v>
      </c>
      <c r="N54" s="83">
        <f>G54-M54</f>
        <v>0</v>
      </c>
      <c r="O54" s="83">
        <f t="shared" si="19"/>
        <v>0</v>
      </c>
      <c r="P54" s="83">
        <f t="shared" si="20"/>
        <v>0</v>
      </c>
      <c r="Q54" s="126"/>
      <c r="R54" s="126"/>
      <c r="S54" s="126"/>
    </row>
    <row r="55" spans="1:19" s="23" customFormat="1" ht="64.5" customHeight="1" x14ac:dyDescent="0.25">
      <c r="A55" s="31" t="s">
        <v>87</v>
      </c>
      <c r="B55" s="91"/>
      <c r="C55" s="207"/>
      <c r="D55" s="157"/>
      <c r="E55" s="157"/>
      <c r="F55" s="138">
        <v>5544</v>
      </c>
      <c r="G55" s="138">
        <v>56</v>
      </c>
      <c r="H55" s="138"/>
      <c r="I55" s="138"/>
      <c r="J55" s="126"/>
      <c r="K55" s="83">
        <f t="shared" si="15"/>
        <v>0</v>
      </c>
      <c r="L55" s="83">
        <f t="shared" si="16"/>
        <v>0</v>
      </c>
      <c r="M55" s="83">
        <f t="shared" si="21"/>
        <v>56</v>
      </c>
      <c r="N55" s="83">
        <f>G55-M55</f>
        <v>0</v>
      </c>
      <c r="O55" s="83">
        <f t="shared" si="19"/>
        <v>0</v>
      </c>
      <c r="P55" s="83">
        <f t="shared" si="20"/>
        <v>0</v>
      </c>
      <c r="Q55" s="126"/>
      <c r="R55" s="126"/>
      <c r="S55" s="126"/>
    </row>
    <row r="56" spans="1:19" s="23" customFormat="1" ht="64.5" hidden="1" customHeight="1" x14ac:dyDescent="0.25">
      <c r="A56" s="31" t="s">
        <v>89</v>
      </c>
      <c r="B56" s="91"/>
      <c r="C56" s="207"/>
      <c r="D56" s="157"/>
      <c r="E56" s="157"/>
      <c r="F56" s="138"/>
      <c r="G56" s="138"/>
      <c r="H56" s="138">
        <f>10695.9-10695.9</f>
        <v>0</v>
      </c>
      <c r="I56" s="138"/>
      <c r="J56" s="126"/>
      <c r="K56" s="83">
        <f t="shared" si="15"/>
        <v>0</v>
      </c>
      <c r="L56" s="83">
        <f t="shared" si="16"/>
        <v>0</v>
      </c>
      <c r="M56" s="83">
        <f t="shared" si="17"/>
        <v>0</v>
      </c>
      <c r="N56" s="83">
        <f t="shared" si="18"/>
        <v>0</v>
      </c>
      <c r="O56" s="83">
        <f t="shared" si="19"/>
        <v>0</v>
      </c>
      <c r="P56" s="83">
        <f t="shared" si="20"/>
        <v>0</v>
      </c>
      <c r="Q56" s="126"/>
      <c r="R56" s="126"/>
      <c r="S56" s="126"/>
    </row>
    <row r="57" spans="1:19" s="23" customFormat="1" ht="64.5" hidden="1" customHeight="1" x14ac:dyDescent="0.25">
      <c r="A57" s="31" t="s">
        <v>90</v>
      </c>
      <c r="B57" s="91"/>
      <c r="C57" s="207"/>
      <c r="D57" s="157"/>
      <c r="E57" s="157"/>
      <c r="F57" s="138"/>
      <c r="G57" s="138"/>
      <c r="H57" s="138">
        <f>6938.5-6938.5</f>
        <v>0</v>
      </c>
      <c r="I57" s="138"/>
      <c r="J57" s="126"/>
      <c r="K57" s="83">
        <f t="shared" si="15"/>
        <v>0</v>
      </c>
      <c r="L57" s="83">
        <f t="shared" si="16"/>
        <v>0</v>
      </c>
      <c r="M57" s="83">
        <f t="shared" si="17"/>
        <v>0</v>
      </c>
      <c r="N57" s="83">
        <f t="shared" si="18"/>
        <v>0</v>
      </c>
      <c r="O57" s="83">
        <f t="shared" si="19"/>
        <v>0</v>
      </c>
      <c r="P57" s="83">
        <f t="shared" si="20"/>
        <v>0</v>
      </c>
      <c r="Q57" s="126"/>
      <c r="R57" s="126"/>
      <c r="S57" s="126"/>
    </row>
    <row r="58" spans="1:19" s="23" customFormat="1" ht="64.5" hidden="1" customHeight="1" x14ac:dyDescent="0.25">
      <c r="A58" s="31" t="s">
        <v>91</v>
      </c>
      <c r="B58" s="91"/>
      <c r="C58" s="207"/>
      <c r="D58" s="157"/>
      <c r="E58" s="157"/>
      <c r="F58" s="138"/>
      <c r="G58" s="138"/>
      <c r="H58" s="138">
        <f>2249.2-2249.2</f>
        <v>0</v>
      </c>
      <c r="I58" s="138"/>
      <c r="J58" s="126"/>
      <c r="K58" s="83">
        <f t="shared" si="15"/>
        <v>0</v>
      </c>
      <c r="L58" s="83">
        <f t="shared" si="16"/>
        <v>0</v>
      </c>
      <c r="M58" s="83">
        <f t="shared" si="17"/>
        <v>0</v>
      </c>
      <c r="N58" s="83">
        <f t="shared" si="18"/>
        <v>0</v>
      </c>
      <c r="O58" s="83">
        <f t="shared" si="19"/>
        <v>0</v>
      </c>
      <c r="P58" s="83">
        <f t="shared" si="20"/>
        <v>0</v>
      </c>
      <c r="Q58" s="126"/>
      <c r="R58" s="126"/>
      <c r="S58" s="126"/>
    </row>
    <row r="59" spans="1:19" s="23" customFormat="1" ht="64.5" hidden="1" customHeight="1" x14ac:dyDescent="0.25">
      <c r="A59" s="31" t="s">
        <v>92</v>
      </c>
      <c r="B59" s="91"/>
      <c r="C59" s="207"/>
      <c r="D59" s="157"/>
      <c r="E59" s="157"/>
      <c r="F59" s="138"/>
      <c r="G59" s="138"/>
      <c r="H59" s="138">
        <f>2313.5-2313.5</f>
        <v>0</v>
      </c>
      <c r="I59" s="138"/>
      <c r="J59" s="126"/>
      <c r="K59" s="83">
        <f t="shared" si="15"/>
        <v>0</v>
      </c>
      <c r="L59" s="83">
        <f t="shared" si="16"/>
        <v>0</v>
      </c>
      <c r="M59" s="83">
        <f t="shared" si="17"/>
        <v>0</v>
      </c>
      <c r="N59" s="83">
        <f t="shared" si="18"/>
        <v>0</v>
      </c>
      <c r="O59" s="83">
        <f t="shared" si="19"/>
        <v>0</v>
      </c>
      <c r="P59" s="83">
        <f t="shared" si="20"/>
        <v>0</v>
      </c>
      <c r="Q59" s="126"/>
      <c r="R59" s="126"/>
      <c r="S59" s="126"/>
    </row>
    <row r="60" spans="1:19" s="23" customFormat="1" ht="64.5" hidden="1" customHeight="1" x14ac:dyDescent="0.25">
      <c r="A60" s="31" t="s">
        <v>93</v>
      </c>
      <c r="B60" s="91"/>
      <c r="C60" s="207"/>
      <c r="D60" s="157"/>
      <c r="E60" s="157"/>
      <c r="F60" s="138"/>
      <c r="G60" s="138"/>
      <c r="H60" s="138">
        <f>4010-4010</f>
        <v>0</v>
      </c>
      <c r="I60" s="138"/>
      <c r="J60" s="126"/>
      <c r="K60" s="83">
        <f t="shared" si="15"/>
        <v>0</v>
      </c>
      <c r="L60" s="83">
        <f t="shared" si="16"/>
        <v>0</v>
      </c>
      <c r="M60" s="83">
        <f t="shared" si="17"/>
        <v>0</v>
      </c>
      <c r="N60" s="83">
        <f t="shared" si="18"/>
        <v>0</v>
      </c>
      <c r="O60" s="83">
        <f t="shared" si="19"/>
        <v>0</v>
      </c>
      <c r="P60" s="83">
        <f t="shared" si="20"/>
        <v>0</v>
      </c>
      <c r="Q60" s="126"/>
      <c r="R60" s="126"/>
      <c r="S60" s="126"/>
    </row>
    <row r="61" spans="1:19" s="23" customFormat="1" ht="64.5" hidden="1" customHeight="1" x14ac:dyDescent="0.25">
      <c r="A61" s="31" t="s">
        <v>94</v>
      </c>
      <c r="B61" s="91"/>
      <c r="C61" s="207"/>
      <c r="D61" s="157"/>
      <c r="E61" s="157"/>
      <c r="F61" s="138"/>
      <c r="G61" s="138"/>
      <c r="H61" s="138">
        <f>24897.5-24897.5</f>
        <v>0</v>
      </c>
      <c r="I61" s="138"/>
      <c r="J61" s="126"/>
      <c r="K61" s="83">
        <f t="shared" si="15"/>
        <v>0</v>
      </c>
      <c r="L61" s="83">
        <f t="shared" si="16"/>
        <v>0</v>
      </c>
      <c r="M61" s="83">
        <f t="shared" si="17"/>
        <v>0</v>
      </c>
      <c r="N61" s="83">
        <f t="shared" si="18"/>
        <v>0</v>
      </c>
      <c r="O61" s="83">
        <f t="shared" si="19"/>
        <v>0</v>
      </c>
      <c r="P61" s="83">
        <f t="shared" si="20"/>
        <v>0</v>
      </c>
      <c r="Q61" s="126"/>
      <c r="R61" s="126"/>
      <c r="S61" s="126"/>
    </row>
    <row r="62" spans="1:19" s="23" customFormat="1" ht="64.5" hidden="1" customHeight="1" x14ac:dyDescent="0.25">
      <c r="A62" s="90" t="s">
        <v>95</v>
      </c>
      <c r="B62" s="91"/>
      <c r="C62" s="207"/>
      <c r="D62" s="157"/>
      <c r="E62" s="157"/>
      <c r="F62" s="138"/>
      <c r="G62" s="138"/>
      <c r="H62" s="138">
        <f>12455.8-12455.8</f>
        <v>0</v>
      </c>
      <c r="I62" s="138"/>
      <c r="J62" s="126"/>
      <c r="K62" s="83">
        <f t="shared" si="15"/>
        <v>0</v>
      </c>
      <c r="L62" s="83">
        <f t="shared" si="16"/>
        <v>0</v>
      </c>
      <c r="M62" s="83">
        <f t="shared" si="17"/>
        <v>0</v>
      </c>
      <c r="N62" s="83">
        <f t="shared" si="18"/>
        <v>0</v>
      </c>
      <c r="O62" s="83">
        <f t="shared" si="19"/>
        <v>0</v>
      </c>
      <c r="P62" s="83">
        <f t="shared" si="20"/>
        <v>0</v>
      </c>
      <c r="Q62" s="126"/>
      <c r="R62" s="126"/>
      <c r="S62" s="126"/>
    </row>
    <row r="63" spans="1:19" s="23" customFormat="1" ht="64.5" hidden="1" customHeight="1" x14ac:dyDescent="0.25">
      <c r="A63" s="92" t="s">
        <v>96</v>
      </c>
      <c r="B63" s="91"/>
      <c r="C63" s="207"/>
      <c r="D63" s="157"/>
      <c r="E63" s="157"/>
      <c r="F63" s="138"/>
      <c r="G63" s="138"/>
      <c r="H63" s="138">
        <f>1409.6-1409.6</f>
        <v>0</v>
      </c>
      <c r="I63" s="138"/>
      <c r="J63" s="126"/>
      <c r="K63" s="83">
        <f t="shared" si="15"/>
        <v>0</v>
      </c>
      <c r="L63" s="83">
        <f t="shared" si="16"/>
        <v>0</v>
      </c>
      <c r="M63" s="83">
        <f t="shared" si="17"/>
        <v>0</v>
      </c>
      <c r="N63" s="83">
        <f t="shared" si="18"/>
        <v>0</v>
      </c>
      <c r="O63" s="83">
        <f t="shared" si="19"/>
        <v>0</v>
      </c>
      <c r="P63" s="83">
        <f t="shared" si="20"/>
        <v>0</v>
      </c>
      <c r="Q63" s="126"/>
      <c r="R63" s="126"/>
      <c r="S63" s="126"/>
    </row>
    <row r="64" spans="1:19" s="23" customFormat="1" ht="64.5" customHeight="1" x14ac:dyDescent="0.25">
      <c r="A64" s="90" t="s">
        <v>97</v>
      </c>
      <c r="B64" s="91"/>
      <c r="C64" s="207"/>
      <c r="D64" s="157"/>
      <c r="E64" s="157"/>
      <c r="F64" s="138"/>
      <c r="G64" s="138"/>
      <c r="H64" s="138">
        <f>7780+2838.6</f>
        <v>10618.6</v>
      </c>
      <c r="I64" s="138">
        <v>107.3</v>
      </c>
      <c r="J64" s="126"/>
      <c r="K64" s="83">
        <f t="shared" si="15"/>
        <v>0</v>
      </c>
      <c r="L64" s="83">
        <f t="shared" si="16"/>
        <v>0</v>
      </c>
      <c r="M64" s="83">
        <f t="shared" si="17"/>
        <v>0</v>
      </c>
      <c r="N64" s="83">
        <f t="shared" si="18"/>
        <v>0</v>
      </c>
      <c r="O64" s="83">
        <f t="shared" ref="O64:O73" si="22">H64*1/99</f>
        <v>107.25858585858586</v>
      </c>
      <c r="P64" s="83">
        <f t="shared" si="20"/>
        <v>4.1414141414136907E-2</v>
      </c>
      <c r="Q64" s="126"/>
      <c r="R64" s="126"/>
      <c r="S64" s="126"/>
    </row>
    <row r="65" spans="1:19" s="23" customFormat="1" ht="64.5" customHeight="1" x14ac:dyDescent="0.25">
      <c r="A65" s="90" t="s">
        <v>98</v>
      </c>
      <c r="B65" s="91"/>
      <c r="C65" s="207"/>
      <c r="D65" s="157"/>
      <c r="E65" s="157"/>
      <c r="F65" s="138"/>
      <c r="G65" s="138"/>
      <c r="H65" s="138">
        <f>4798.7+1755.8</f>
        <v>6554.5</v>
      </c>
      <c r="I65" s="138">
        <f>66.2+0.1</f>
        <v>66.3</v>
      </c>
      <c r="J65" s="126"/>
      <c r="K65" s="83">
        <f t="shared" si="15"/>
        <v>0</v>
      </c>
      <c r="L65" s="83">
        <f t="shared" si="16"/>
        <v>0</v>
      </c>
      <c r="M65" s="83">
        <f t="shared" si="17"/>
        <v>0</v>
      </c>
      <c r="N65" s="83">
        <f t="shared" si="18"/>
        <v>0</v>
      </c>
      <c r="O65" s="83">
        <f t="shared" si="22"/>
        <v>66.207070707070713</v>
      </c>
      <c r="P65" s="83">
        <f t="shared" si="20"/>
        <v>9.2929292929284202E-2</v>
      </c>
      <c r="Q65" s="126"/>
      <c r="R65" s="126"/>
      <c r="S65" s="126"/>
    </row>
    <row r="66" spans="1:19" s="23" customFormat="1" ht="64.5" customHeight="1" x14ac:dyDescent="0.25">
      <c r="A66" s="90" t="s">
        <v>99</v>
      </c>
      <c r="B66" s="91"/>
      <c r="C66" s="207"/>
      <c r="D66" s="157"/>
      <c r="E66" s="157"/>
      <c r="F66" s="138"/>
      <c r="G66" s="138"/>
      <c r="H66" s="138">
        <f>25644.3+2176.1</f>
        <v>27820.399999999998</v>
      </c>
      <c r="I66" s="138">
        <v>281.10000000000002</v>
      </c>
      <c r="J66" s="126"/>
      <c r="K66" s="83">
        <f t="shared" si="15"/>
        <v>0</v>
      </c>
      <c r="L66" s="83">
        <f t="shared" si="16"/>
        <v>0</v>
      </c>
      <c r="M66" s="83">
        <f t="shared" si="17"/>
        <v>0</v>
      </c>
      <c r="N66" s="83">
        <f t="shared" si="18"/>
        <v>0</v>
      </c>
      <c r="O66" s="83">
        <f t="shared" si="22"/>
        <v>281.01414141414142</v>
      </c>
      <c r="P66" s="83">
        <f t="shared" si="20"/>
        <v>8.585858585860251E-2</v>
      </c>
      <c r="Q66" s="126"/>
      <c r="R66" s="126"/>
      <c r="S66" s="126"/>
    </row>
    <row r="67" spans="1:19" s="23" customFormat="1" ht="64.5" customHeight="1" x14ac:dyDescent="0.25">
      <c r="A67" s="90" t="s">
        <v>100</v>
      </c>
      <c r="B67" s="91"/>
      <c r="C67" s="207"/>
      <c r="D67" s="157"/>
      <c r="E67" s="157"/>
      <c r="F67" s="138"/>
      <c r="G67" s="138"/>
      <c r="H67" s="138">
        <f>6658.9+548.9</f>
        <v>7207.7999999999993</v>
      </c>
      <c r="I67" s="138">
        <f>72.8+0.1</f>
        <v>72.899999999999991</v>
      </c>
      <c r="J67" s="126"/>
      <c r="K67" s="83">
        <f t="shared" si="15"/>
        <v>0</v>
      </c>
      <c r="L67" s="83">
        <f t="shared" si="16"/>
        <v>0</v>
      </c>
      <c r="M67" s="83">
        <f t="shared" si="17"/>
        <v>0</v>
      </c>
      <c r="N67" s="83">
        <f t="shared" si="18"/>
        <v>0</v>
      </c>
      <c r="O67" s="83">
        <f t="shared" si="22"/>
        <v>72.806060606060598</v>
      </c>
      <c r="P67" s="83">
        <f t="shared" si="20"/>
        <v>9.3939393939393767E-2</v>
      </c>
      <c r="Q67" s="126"/>
      <c r="R67" s="126"/>
      <c r="S67" s="126"/>
    </row>
    <row r="68" spans="1:19" s="23" customFormat="1" ht="64.5" hidden="1" customHeight="1" x14ac:dyDescent="0.25">
      <c r="A68" s="90" t="s">
        <v>101</v>
      </c>
      <c r="B68" s="91"/>
      <c r="C68" s="207"/>
      <c r="D68" s="157"/>
      <c r="E68" s="157"/>
      <c r="F68" s="138"/>
      <c r="G68" s="138"/>
      <c r="H68" s="138">
        <f>4048.7-4048.7</f>
        <v>0</v>
      </c>
      <c r="I68" s="138"/>
      <c r="J68" s="126"/>
      <c r="K68" s="83">
        <f t="shared" si="15"/>
        <v>0</v>
      </c>
      <c r="L68" s="83">
        <f t="shared" si="16"/>
        <v>0</v>
      </c>
      <c r="M68" s="83">
        <f t="shared" si="17"/>
        <v>0</v>
      </c>
      <c r="N68" s="83">
        <f t="shared" si="18"/>
        <v>0</v>
      </c>
      <c r="O68" s="83">
        <f t="shared" si="22"/>
        <v>0</v>
      </c>
      <c r="P68" s="83">
        <f t="shared" si="20"/>
        <v>0</v>
      </c>
      <c r="Q68" s="126"/>
      <c r="R68" s="126"/>
      <c r="S68" s="126"/>
    </row>
    <row r="69" spans="1:19" s="23" customFormat="1" ht="64.5" hidden="1" customHeight="1" x14ac:dyDescent="0.25">
      <c r="A69" s="92" t="s">
        <v>102</v>
      </c>
      <c r="B69" s="91"/>
      <c r="C69" s="207"/>
      <c r="D69" s="157"/>
      <c r="E69" s="157"/>
      <c r="F69" s="138"/>
      <c r="G69" s="138"/>
      <c r="H69" s="138">
        <f>2232.1-2232.1</f>
        <v>0</v>
      </c>
      <c r="I69" s="138"/>
      <c r="J69" s="126"/>
      <c r="K69" s="83">
        <f t="shared" si="15"/>
        <v>0</v>
      </c>
      <c r="L69" s="83">
        <f t="shared" si="16"/>
        <v>0</v>
      </c>
      <c r="M69" s="83">
        <f t="shared" si="17"/>
        <v>0</v>
      </c>
      <c r="N69" s="83">
        <f t="shared" si="18"/>
        <v>0</v>
      </c>
      <c r="O69" s="83">
        <f t="shared" si="22"/>
        <v>0</v>
      </c>
      <c r="P69" s="83">
        <f t="shared" si="20"/>
        <v>0</v>
      </c>
      <c r="Q69" s="126"/>
      <c r="R69" s="126"/>
      <c r="S69" s="126"/>
    </row>
    <row r="70" spans="1:19" s="23" customFormat="1" ht="64.5" hidden="1" customHeight="1" x14ac:dyDescent="0.25">
      <c r="A70" s="90" t="s">
        <v>103</v>
      </c>
      <c r="B70" s="91"/>
      <c r="C70" s="207"/>
      <c r="D70" s="157"/>
      <c r="E70" s="157"/>
      <c r="F70" s="138"/>
      <c r="G70" s="138"/>
      <c r="H70" s="208">
        <f>2244.1-2244.1</f>
        <v>0</v>
      </c>
      <c r="I70" s="138"/>
      <c r="J70" s="126"/>
      <c r="K70" s="83">
        <f t="shared" si="15"/>
        <v>0</v>
      </c>
      <c r="L70" s="83">
        <f t="shared" si="16"/>
        <v>0</v>
      </c>
      <c r="M70" s="83">
        <f t="shared" si="17"/>
        <v>0</v>
      </c>
      <c r="N70" s="83">
        <f t="shared" si="18"/>
        <v>0</v>
      </c>
      <c r="O70" s="83">
        <f t="shared" si="22"/>
        <v>0</v>
      </c>
      <c r="P70" s="83">
        <f t="shared" si="20"/>
        <v>0</v>
      </c>
      <c r="Q70" s="126"/>
      <c r="R70" s="126"/>
      <c r="S70" s="126"/>
    </row>
    <row r="71" spans="1:19" s="23" customFormat="1" ht="64.5" customHeight="1" x14ac:dyDescent="0.25">
      <c r="A71" s="90" t="s">
        <v>104</v>
      </c>
      <c r="B71" s="91"/>
      <c r="C71" s="207"/>
      <c r="D71" s="157"/>
      <c r="E71" s="157"/>
      <c r="F71" s="138"/>
      <c r="G71" s="138"/>
      <c r="H71" s="208">
        <f>15993+1339.1</f>
        <v>17332.099999999999</v>
      </c>
      <c r="I71" s="138">
        <v>175.1</v>
      </c>
      <c r="J71" s="126"/>
      <c r="K71" s="83">
        <f t="shared" si="15"/>
        <v>0</v>
      </c>
      <c r="L71" s="83">
        <f t="shared" si="16"/>
        <v>0</v>
      </c>
      <c r="M71" s="83">
        <f t="shared" si="17"/>
        <v>0</v>
      </c>
      <c r="N71" s="83">
        <f t="shared" si="18"/>
        <v>0</v>
      </c>
      <c r="O71" s="83">
        <f t="shared" si="22"/>
        <v>175.07171717171715</v>
      </c>
      <c r="P71" s="83">
        <f t="shared" si="20"/>
        <v>2.8282828282840455E-2</v>
      </c>
      <c r="Q71" s="126"/>
      <c r="R71" s="126"/>
      <c r="S71" s="126"/>
    </row>
    <row r="72" spans="1:19" s="23" customFormat="1" ht="64.5" customHeight="1" x14ac:dyDescent="0.25">
      <c r="A72" s="90" t="s">
        <v>105</v>
      </c>
      <c r="B72" s="91"/>
      <c r="C72" s="207"/>
      <c r="D72" s="157"/>
      <c r="E72" s="157"/>
      <c r="F72" s="138"/>
      <c r="G72" s="138"/>
      <c r="H72" s="208">
        <f>3744.1+321.8</f>
        <v>4065.9</v>
      </c>
      <c r="I72" s="138">
        <v>41.1</v>
      </c>
      <c r="J72" s="126"/>
      <c r="K72" s="83">
        <f t="shared" si="15"/>
        <v>0</v>
      </c>
      <c r="L72" s="83">
        <f t="shared" si="16"/>
        <v>0</v>
      </c>
      <c r="M72" s="83">
        <f t="shared" si="17"/>
        <v>0</v>
      </c>
      <c r="N72" s="83">
        <f t="shared" si="18"/>
        <v>0</v>
      </c>
      <c r="O72" s="83">
        <f t="shared" si="22"/>
        <v>41.06969696969697</v>
      </c>
      <c r="P72" s="83">
        <f t="shared" si="20"/>
        <v>3.0303030303031164E-2</v>
      </c>
      <c r="Q72" s="126"/>
      <c r="R72" s="126"/>
      <c r="S72" s="126"/>
    </row>
    <row r="73" spans="1:19" s="23" customFormat="1" ht="64.5" customHeight="1" x14ac:dyDescent="0.25">
      <c r="A73" s="90" t="s">
        <v>106</v>
      </c>
      <c r="B73" s="91"/>
      <c r="C73" s="207"/>
      <c r="D73" s="157"/>
      <c r="E73" s="157"/>
      <c r="F73" s="138"/>
      <c r="G73" s="138"/>
      <c r="H73" s="208">
        <f>5672.9+1715.3</f>
        <v>7388.2</v>
      </c>
      <c r="I73" s="138">
        <v>74.7</v>
      </c>
      <c r="J73" s="126"/>
      <c r="K73" s="83">
        <f t="shared" si="15"/>
        <v>0</v>
      </c>
      <c r="L73" s="83">
        <f t="shared" si="16"/>
        <v>0</v>
      </c>
      <c r="M73" s="83">
        <f t="shared" si="17"/>
        <v>0</v>
      </c>
      <c r="N73" s="83">
        <f t="shared" si="18"/>
        <v>0</v>
      </c>
      <c r="O73" s="83">
        <f t="shared" si="22"/>
        <v>74.628282828282821</v>
      </c>
      <c r="P73" s="83">
        <f t="shared" si="20"/>
        <v>7.1717171717182282E-2</v>
      </c>
      <c r="Q73" s="126"/>
      <c r="R73" s="126"/>
      <c r="S73" s="126"/>
    </row>
    <row r="74" spans="1:19" s="23" customFormat="1" ht="64.5" hidden="1" customHeight="1" x14ac:dyDescent="0.25">
      <c r="A74" s="90" t="s">
        <v>107</v>
      </c>
      <c r="B74" s="91"/>
      <c r="C74" s="207"/>
      <c r="D74" s="157"/>
      <c r="E74" s="157"/>
      <c r="F74" s="138"/>
      <c r="G74" s="138"/>
      <c r="H74" s="209">
        <f>33678.3-33678.3</f>
        <v>0</v>
      </c>
      <c r="I74" s="138"/>
      <c r="J74" s="126"/>
      <c r="K74" s="83">
        <f t="shared" si="15"/>
        <v>0</v>
      </c>
      <c r="L74" s="83">
        <f t="shared" si="16"/>
        <v>0</v>
      </c>
      <c r="M74" s="83">
        <f t="shared" si="17"/>
        <v>0</v>
      </c>
      <c r="N74" s="83">
        <f t="shared" si="18"/>
        <v>0</v>
      </c>
      <c r="O74" s="83">
        <f t="shared" si="19"/>
        <v>0</v>
      </c>
      <c r="P74" s="83">
        <f t="shared" si="20"/>
        <v>0</v>
      </c>
      <c r="Q74" s="126"/>
      <c r="R74" s="126"/>
      <c r="S74" s="126"/>
    </row>
    <row r="75" spans="1:19" s="23" customFormat="1" ht="64.5" hidden="1" customHeight="1" x14ac:dyDescent="0.25">
      <c r="A75" s="90" t="s">
        <v>108</v>
      </c>
      <c r="B75" s="91"/>
      <c r="C75" s="207"/>
      <c r="D75" s="157"/>
      <c r="E75" s="157"/>
      <c r="F75" s="138"/>
      <c r="G75" s="138"/>
      <c r="H75" s="210">
        <f>1485.6-1485.6</f>
        <v>0</v>
      </c>
      <c r="I75" s="154"/>
      <c r="J75" s="126"/>
      <c r="K75" s="83">
        <f t="shared" si="15"/>
        <v>0</v>
      </c>
      <c r="L75" s="83">
        <f t="shared" si="16"/>
        <v>0</v>
      </c>
      <c r="M75" s="83">
        <f t="shared" si="17"/>
        <v>0</v>
      </c>
      <c r="N75" s="83">
        <f t="shared" si="18"/>
        <v>0</v>
      </c>
      <c r="O75" s="83">
        <f t="shared" si="19"/>
        <v>0</v>
      </c>
      <c r="P75" s="83">
        <f t="shared" si="20"/>
        <v>0</v>
      </c>
      <c r="Q75" s="126"/>
      <c r="R75" s="126"/>
      <c r="S75" s="126"/>
    </row>
    <row r="76" spans="1:19" s="23" customFormat="1" ht="64.5" hidden="1" customHeight="1" x14ac:dyDescent="0.25">
      <c r="A76" s="90" t="s">
        <v>109</v>
      </c>
      <c r="B76" s="91"/>
      <c r="C76" s="207"/>
      <c r="D76" s="157"/>
      <c r="E76" s="157"/>
      <c r="F76" s="138"/>
      <c r="G76" s="138"/>
      <c r="H76" s="210">
        <f>2036.8-2036.8</f>
        <v>0</v>
      </c>
      <c r="I76" s="154"/>
      <c r="J76" s="126"/>
      <c r="K76" s="83">
        <f t="shared" si="15"/>
        <v>0</v>
      </c>
      <c r="L76" s="83">
        <f t="shared" si="16"/>
        <v>0</v>
      </c>
      <c r="M76" s="83">
        <f t="shared" si="17"/>
        <v>0</v>
      </c>
      <c r="N76" s="83">
        <f t="shared" si="18"/>
        <v>0</v>
      </c>
      <c r="O76" s="83">
        <f t="shared" si="19"/>
        <v>0</v>
      </c>
      <c r="P76" s="83">
        <f t="shared" si="20"/>
        <v>0</v>
      </c>
      <c r="Q76" s="126"/>
      <c r="R76" s="126"/>
      <c r="S76" s="126"/>
    </row>
    <row r="77" spans="1:19" s="23" customFormat="1" ht="64.5" customHeight="1" x14ac:dyDescent="0.25">
      <c r="A77" s="31" t="s">
        <v>88</v>
      </c>
      <c r="B77" s="91"/>
      <c r="C77" s="207"/>
      <c r="D77" s="157"/>
      <c r="E77" s="157"/>
      <c r="F77" s="138">
        <v>20295</v>
      </c>
      <c r="G77" s="138">
        <v>205</v>
      </c>
      <c r="H77" s="138"/>
      <c r="I77" s="138"/>
      <c r="J77" s="126"/>
      <c r="K77" s="83">
        <f t="shared" si="15"/>
        <v>0</v>
      </c>
      <c r="L77" s="83">
        <f t="shared" si="16"/>
        <v>0</v>
      </c>
      <c r="M77" s="83">
        <f>F77*1/99</f>
        <v>205</v>
      </c>
      <c r="N77" s="83">
        <f t="shared" si="18"/>
        <v>0</v>
      </c>
      <c r="O77" s="83">
        <f t="shared" si="19"/>
        <v>0</v>
      </c>
      <c r="P77" s="83">
        <f t="shared" si="20"/>
        <v>0</v>
      </c>
      <c r="Q77" s="126"/>
      <c r="R77" s="126"/>
      <c r="S77" s="126"/>
    </row>
    <row r="78" spans="1:19" s="23" customFormat="1" ht="42.75" hidden="1" customHeight="1" x14ac:dyDescent="0.25">
      <c r="A78" s="31" t="s">
        <v>79</v>
      </c>
      <c r="B78" s="91"/>
      <c r="C78" s="207"/>
      <c r="D78" s="157">
        <f>55836-55836</f>
        <v>0</v>
      </c>
      <c r="E78" s="157"/>
      <c r="F78" s="138"/>
      <c r="G78" s="138"/>
      <c r="H78" s="138"/>
      <c r="I78" s="138"/>
      <c r="J78" s="126"/>
      <c r="K78" s="83">
        <f t="shared" si="15"/>
        <v>0</v>
      </c>
      <c r="L78" s="83">
        <f t="shared" si="16"/>
        <v>0</v>
      </c>
      <c r="M78" s="83">
        <f t="shared" si="17"/>
        <v>0</v>
      </c>
      <c r="N78" s="83">
        <f t="shared" si="18"/>
        <v>0</v>
      </c>
      <c r="O78" s="83">
        <f t="shared" si="19"/>
        <v>0</v>
      </c>
      <c r="P78" s="83">
        <f t="shared" si="20"/>
        <v>0</v>
      </c>
      <c r="Q78" s="126"/>
      <c r="R78" s="126"/>
      <c r="S78" s="126"/>
    </row>
    <row r="79" spans="1:19" s="23" customFormat="1" ht="72" customHeight="1" x14ac:dyDescent="0.25">
      <c r="A79" s="31" t="s">
        <v>117</v>
      </c>
      <c r="B79" s="91"/>
      <c r="C79" s="207"/>
      <c r="D79" s="157">
        <v>131290.1</v>
      </c>
      <c r="E79" s="157">
        <v>1695.6</v>
      </c>
      <c r="F79" s="138">
        <v>156272.20000000001</v>
      </c>
      <c r="G79" s="138">
        <v>2018.2</v>
      </c>
      <c r="H79" s="138"/>
      <c r="I79" s="138"/>
      <c r="J79" s="126"/>
      <c r="K79" s="83">
        <f t="shared" si="15"/>
        <v>10645.143243243243</v>
      </c>
      <c r="L79" s="83">
        <f t="shared" si="16"/>
        <v>-8949.5432432432426</v>
      </c>
      <c r="M79" s="83">
        <f t="shared" si="17"/>
        <v>12670.718918918919</v>
      </c>
      <c r="N79" s="83">
        <f t="shared" si="18"/>
        <v>-10652.518918918919</v>
      </c>
      <c r="O79" s="83">
        <f t="shared" si="19"/>
        <v>0</v>
      </c>
      <c r="P79" s="83">
        <f t="shared" si="20"/>
        <v>0</v>
      </c>
      <c r="Q79" s="126"/>
      <c r="R79" s="126"/>
      <c r="S79" s="126"/>
    </row>
    <row r="80" spans="1:19" s="23" customFormat="1" ht="72" customHeight="1" x14ac:dyDescent="0.25">
      <c r="A80" s="31" t="s">
        <v>118</v>
      </c>
      <c r="B80" s="91"/>
      <c r="C80" s="207"/>
      <c r="D80" s="157">
        <f>953.2-235.2</f>
        <v>718</v>
      </c>
      <c r="E80" s="157">
        <v>77.3</v>
      </c>
      <c r="F80" s="138"/>
      <c r="G80" s="138"/>
      <c r="H80" s="138"/>
      <c r="I80" s="138"/>
      <c r="J80" s="126"/>
      <c r="K80" s="83">
        <f t="shared" si="15"/>
        <v>58.216216216216218</v>
      </c>
      <c r="L80" s="83">
        <f t="shared" si="16"/>
        <v>19.08378378378378</v>
      </c>
      <c r="M80" s="83">
        <f t="shared" si="17"/>
        <v>0</v>
      </c>
      <c r="N80" s="83">
        <f t="shared" si="18"/>
        <v>0</v>
      </c>
      <c r="O80" s="83">
        <f t="shared" si="19"/>
        <v>0</v>
      </c>
      <c r="P80" s="83">
        <f t="shared" si="20"/>
        <v>0</v>
      </c>
      <c r="Q80" s="126"/>
      <c r="R80" s="126"/>
      <c r="S80" s="126"/>
    </row>
    <row r="81" spans="1:19" s="23" customFormat="1" ht="118.5" customHeight="1" x14ac:dyDescent="0.25">
      <c r="A81" s="43" t="s">
        <v>126</v>
      </c>
      <c r="B81" s="91"/>
      <c r="C81" s="207"/>
      <c r="D81" s="157"/>
      <c r="E81" s="157">
        <f>838.9-838.9+451.6</f>
        <v>451.6</v>
      </c>
      <c r="F81" s="138"/>
      <c r="G81" s="138">
        <v>410.8</v>
      </c>
      <c r="H81" s="138"/>
      <c r="I81" s="138"/>
      <c r="J81" s="126"/>
      <c r="K81" s="83">
        <f t="shared" si="15"/>
        <v>0</v>
      </c>
      <c r="L81" s="83">
        <f t="shared" si="16"/>
        <v>451.6</v>
      </c>
      <c r="M81" s="83">
        <f t="shared" si="17"/>
        <v>0</v>
      </c>
      <c r="N81" s="83">
        <f t="shared" si="18"/>
        <v>410.8</v>
      </c>
      <c r="O81" s="83">
        <f t="shared" si="19"/>
        <v>0</v>
      </c>
      <c r="P81" s="83">
        <f t="shared" si="20"/>
        <v>0</v>
      </c>
      <c r="Q81" s="126"/>
      <c r="R81" s="126"/>
      <c r="S81" s="126"/>
    </row>
    <row r="82" spans="1:19" s="23" customFormat="1" ht="63" customHeight="1" x14ac:dyDescent="0.25">
      <c r="A82" s="43" t="s">
        <v>79</v>
      </c>
      <c r="B82" s="91"/>
      <c r="C82" s="207"/>
      <c r="D82" s="157">
        <v>36365.300000000003</v>
      </c>
      <c r="E82" s="157">
        <f>564-196.6</f>
        <v>367.4</v>
      </c>
      <c r="F82" s="138"/>
      <c r="G82" s="138"/>
      <c r="H82" s="138"/>
      <c r="I82" s="138"/>
      <c r="J82" s="126"/>
      <c r="K82" s="83">
        <f t="shared" si="15"/>
        <v>2948.5378378378377</v>
      </c>
      <c r="L82" s="83">
        <f t="shared" si="16"/>
        <v>-2581.1378378378377</v>
      </c>
      <c r="M82" s="83">
        <f t="shared" si="17"/>
        <v>0</v>
      </c>
      <c r="N82" s="83">
        <f t="shared" si="18"/>
        <v>0</v>
      </c>
      <c r="O82" s="83">
        <f t="shared" si="19"/>
        <v>0</v>
      </c>
      <c r="P82" s="83">
        <f t="shared" si="20"/>
        <v>0</v>
      </c>
      <c r="Q82" s="126"/>
      <c r="R82" s="126"/>
      <c r="S82" s="126"/>
    </row>
    <row r="83" spans="1:19" s="23" customFormat="1" ht="66" customHeight="1" x14ac:dyDescent="0.25">
      <c r="A83" s="186" t="s">
        <v>132</v>
      </c>
      <c r="B83" s="187">
        <v>17834.8</v>
      </c>
      <c r="C83" s="211" t="s">
        <v>132</v>
      </c>
      <c r="D83" s="187">
        <v>17834.8</v>
      </c>
      <c r="E83" s="157">
        <v>180.2</v>
      </c>
      <c r="F83" s="138"/>
      <c r="G83" s="138"/>
      <c r="H83" s="138"/>
      <c r="I83" s="138"/>
      <c r="J83" s="126"/>
      <c r="K83" s="83"/>
      <c r="L83" s="83"/>
      <c r="M83" s="83"/>
      <c r="N83" s="83"/>
      <c r="O83" s="83"/>
      <c r="P83" s="83"/>
      <c r="Q83" s="126"/>
      <c r="R83" s="126"/>
      <c r="S83" s="126"/>
    </row>
    <row r="84" spans="1:19" s="23" customFormat="1" ht="60.75" hidden="1" customHeight="1" x14ac:dyDescent="0.25">
      <c r="A84" s="186" t="s">
        <v>141</v>
      </c>
      <c r="B84" s="187"/>
      <c r="C84" s="211"/>
      <c r="D84" s="187"/>
      <c r="E84" s="157">
        <f>4642.3-4642.3</f>
        <v>0</v>
      </c>
      <c r="F84" s="138"/>
      <c r="G84" s="138"/>
      <c r="H84" s="138"/>
      <c r="I84" s="138"/>
      <c r="J84" s="126"/>
      <c r="K84" s="83"/>
      <c r="L84" s="83"/>
      <c r="M84" s="83"/>
      <c r="N84" s="83"/>
      <c r="O84" s="83"/>
      <c r="P84" s="83"/>
      <c r="Q84" s="126"/>
      <c r="R84" s="126"/>
      <c r="S84" s="126"/>
    </row>
    <row r="85" spans="1:19" s="23" customFormat="1" ht="82.5" customHeight="1" x14ac:dyDescent="0.25">
      <c r="A85" s="186" t="s">
        <v>142</v>
      </c>
      <c r="B85" s="187"/>
      <c r="C85" s="211"/>
      <c r="D85" s="187"/>
      <c r="E85" s="157">
        <v>224.4</v>
      </c>
      <c r="F85" s="138"/>
      <c r="G85" s="138">
        <f>1906</f>
        <v>1906</v>
      </c>
      <c r="H85" s="138"/>
      <c r="I85" s="138"/>
      <c r="J85" s="126"/>
      <c r="K85" s="83"/>
      <c r="L85" s="83"/>
      <c r="M85" s="83"/>
      <c r="N85" s="83"/>
      <c r="O85" s="83"/>
      <c r="P85" s="83"/>
      <c r="Q85" s="126"/>
      <c r="R85" s="126"/>
      <c r="S85" s="126"/>
    </row>
    <row r="86" spans="1:19" s="23" customFormat="1" ht="82.5" customHeight="1" x14ac:dyDescent="0.25">
      <c r="A86" s="186" t="s">
        <v>143</v>
      </c>
      <c r="B86" s="187"/>
      <c r="C86" s="211"/>
      <c r="D86" s="187"/>
      <c r="E86" s="157">
        <v>369.4</v>
      </c>
      <c r="F86" s="138"/>
      <c r="G86" s="138"/>
      <c r="H86" s="138"/>
      <c r="I86" s="138"/>
      <c r="J86" s="126"/>
      <c r="K86" s="83"/>
      <c r="L86" s="83"/>
      <c r="M86" s="83"/>
      <c r="N86" s="83"/>
      <c r="O86" s="83"/>
      <c r="P86" s="83"/>
      <c r="Q86" s="126"/>
      <c r="R86" s="126"/>
      <c r="S86" s="126"/>
    </row>
    <row r="87" spans="1:19" s="16" customFormat="1" ht="75" customHeight="1" x14ac:dyDescent="0.25">
      <c r="A87" s="189" t="s">
        <v>130</v>
      </c>
      <c r="B87" s="190">
        <v>10742.4</v>
      </c>
      <c r="C87" s="212" t="s">
        <v>130</v>
      </c>
      <c r="D87" s="29">
        <v>10742.4</v>
      </c>
      <c r="E87" s="154">
        <v>871</v>
      </c>
      <c r="F87" s="154">
        <v>4257.8</v>
      </c>
      <c r="G87" s="154">
        <v>345.3</v>
      </c>
      <c r="H87" s="154"/>
      <c r="I87" s="154"/>
      <c r="J87" s="83"/>
      <c r="K87" s="83"/>
      <c r="L87" s="83"/>
      <c r="M87" s="83"/>
      <c r="N87" s="83"/>
      <c r="O87" s="83"/>
      <c r="P87" s="83"/>
      <c r="Q87" s="83"/>
      <c r="R87" s="83"/>
      <c r="S87" s="83"/>
    </row>
    <row r="88" spans="1:19" s="16" customFormat="1" ht="75" customHeight="1" x14ac:dyDescent="0.25">
      <c r="A88" s="189" t="s">
        <v>150</v>
      </c>
      <c r="B88" s="190"/>
      <c r="C88" s="212"/>
      <c r="D88" s="29"/>
      <c r="E88" s="154"/>
      <c r="F88" s="154"/>
      <c r="G88" s="154">
        <v>2845.7</v>
      </c>
      <c r="H88" s="154"/>
      <c r="I88" s="154"/>
      <c r="J88" s="83"/>
      <c r="K88" s="83"/>
      <c r="L88" s="83"/>
      <c r="M88" s="83"/>
      <c r="N88" s="83"/>
      <c r="O88" s="83"/>
      <c r="P88" s="83"/>
      <c r="Q88" s="83"/>
      <c r="R88" s="83"/>
      <c r="S88" s="83"/>
    </row>
    <row r="89" spans="1:19" s="16" customFormat="1" ht="85.5" customHeight="1" x14ac:dyDescent="0.25">
      <c r="A89" s="189" t="s">
        <v>151</v>
      </c>
      <c r="B89" s="190"/>
      <c r="C89" s="212"/>
      <c r="D89" s="29"/>
      <c r="E89" s="154"/>
      <c r="F89" s="154"/>
      <c r="G89" s="154">
        <v>1158.5999999999999</v>
      </c>
      <c r="H89" s="154"/>
      <c r="I89" s="154"/>
      <c r="J89" s="83"/>
      <c r="K89" s="83"/>
      <c r="L89" s="83"/>
      <c r="M89" s="83"/>
      <c r="N89" s="83"/>
      <c r="O89" s="83"/>
      <c r="P89" s="83"/>
      <c r="Q89" s="83"/>
      <c r="R89" s="83"/>
      <c r="S89" s="83"/>
    </row>
    <row r="90" spans="1:19" s="16" customFormat="1" ht="95.25" customHeight="1" thickBot="1" x14ac:dyDescent="0.3">
      <c r="A90" s="215" t="s">
        <v>157</v>
      </c>
      <c r="B90" s="216"/>
      <c r="C90" s="215"/>
      <c r="D90" s="217">
        <v>75618.7</v>
      </c>
      <c r="E90" s="153">
        <v>6131.3</v>
      </c>
      <c r="F90" s="153"/>
      <c r="G90" s="153"/>
      <c r="H90" s="153"/>
      <c r="I90" s="153"/>
      <c r="J90" s="83"/>
      <c r="K90" s="83"/>
      <c r="L90" s="83"/>
      <c r="M90" s="83"/>
      <c r="N90" s="83"/>
      <c r="O90" s="83"/>
      <c r="P90" s="83"/>
      <c r="Q90" s="83"/>
      <c r="R90" s="83"/>
      <c r="S90" s="83"/>
    </row>
    <row r="91" spans="1:19" s="23" customFormat="1" ht="13.5" customHeight="1" thickBot="1" x14ac:dyDescent="0.3">
      <c r="A91" s="21"/>
      <c r="B91" s="68"/>
      <c r="C91" s="68"/>
      <c r="D91" s="153"/>
      <c r="E91" s="153"/>
      <c r="F91" s="153"/>
      <c r="G91" s="153"/>
      <c r="H91" s="153"/>
      <c r="I91" s="153"/>
      <c r="J91" s="126"/>
      <c r="K91" s="126"/>
      <c r="L91" s="126"/>
      <c r="M91" s="126"/>
      <c r="N91" s="126"/>
      <c r="O91" s="126"/>
      <c r="P91" s="126"/>
      <c r="Q91" s="126"/>
      <c r="R91" s="126"/>
      <c r="S91" s="126"/>
    </row>
    <row r="92" spans="1:19" s="23" customFormat="1" ht="15" customHeight="1" thickBot="1" x14ac:dyDescent="0.3">
      <c r="B92" s="65"/>
      <c r="C92" s="65"/>
      <c r="D92" s="140"/>
      <c r="E92" s="140"/>
      <c r="F92" s="140"/>
      <c r="G92" s="140"/>
      <c r="H92" s="140"/>
      <c r="I92" s="140"/>
      <c r="J92" s="126"/>
      <c r="K92" s="126"/>
      <c r="L92" s="126"/>
      <c r="M92" s="126"/>
      <c r="N92" s="126"/>
      <c r="O92" s="126"/>
      <c r="P92" s="126"/>
      <c r="Q92" s="126"/>
      <c r="R92" s="126"/>
      <c r="S92" s="126"/>
    </row>
    <row r="93" spans="1:19" s="23" customFormat="1" ht="59.25" customHeight="1" x14ac:dyDescent="0.25">
      <c r="A93" s="12" t="s">
        <v>16</v>
      </c>
      <c r="B93" s="66"/>
      <c r="C93" s="66"/>
      <c r="D93" s="136">
        <f t="shared" ref="D93:I93" si="23">SUM(D94:D102)</f>
        <v>27143</v>
      </c>
      <c r="E93" s="136">
        <f t="shared" si="23"/>
        <v>1913.3000000000002</v>
      </c>
      <c r="F93" s="136">
        <f t="shared" si="23"/>
        <v>2088.1999999999998</v>
      </c>
      <c r="G93" s="136">
        <f t="shared" si="23"/>
        <v>149.4</v>
      </c>
      <c r="H93" s="136">
        <f t="shared" si="23"/>
        <v>781.1</v>
      </c>
      <c r="I93" s="136">
        <f t="shared" si="23"/>
        <v>43.300000000000004</v>
      </c>
      <c r="J93" s="126"/>
      <c r="K93" s="126"/>
      <c r="L93" s="126"/>
      <c r="M93" s="126"/>
      <c r="N93" s="126"/>
      <c r="O93" s="126"/>
      <c r="P93" s="126"/>
      <c r="Q93" s="126"/>
      <c r="R93" s="126"/>
      <c r="S93" s="126"/>
    </row>
    <row r="94" spans="1:19" s="23" customFormat="1" ht="80.25" customHeight="1" x14ac:dyDescent="0.25">
      <c r="A94" s="27" t="s">
        <v>17</v>
      </c>
      <c r="B94" s="71">
        <v>906</v>
      </c>
      <c r="C94" s="71" t="s">
        <v>55</v>
      </c>
      <c r="D94" s="154">
        <v>482.4</v>
      </c>
      <c r="E94" s="154">
        <v>39.200000000000003</v>
      </c>
      <c r="F94" s="154">
        <v>626.4</v>
      </c>
      <c r="G94" s="154">
        <v>50.8</v>
      </c>
      <c r="H94" s="154"/>
      <c r="I94" s="154"/>
      <c r="J94" s="126"/>
      <c r="K94" s="83">
        <f t="shared" ref="K94:K100" si="24">D94*7.5/92.5</f>
        <v>39.11351351351351</v>
      </c>
      <c r="L94" s="83">
        <f t="shared" ref="L94:L100" si="25">E94-K94</f>
        <v>8.6486486486492709E-2</v>
      </c>
      <c r="M94" s="83">
        <f t="shared" ref="M94:M100" si="26">F94*7.5/92.5</f>
        <v>50.789189189189187</v>
      </c>
      <c r="N94" s="83">
        <f t="shared" ref="N94:N100" si="27">G94-M94</f>
        <v>1.0810810810809812E-2</v>
      </c>
      <c r="O94" s="83">
        <f t="shared" ref="O94:O100" si="28">H94*7.5/92.5</f>
        <v>0</v>
      </c>
      <c r="P94" s="83">
        <f t="shared" ref="P94:P100" si="29">I94-O94</f>
        <v>0</v>
      </c>
      <c r="Q94" s="126"/>
      <c r="R94" s="126"/>
      <c r="S94" s="126"/>
    </row>
    <row r="95" spans="1:19" s="23" customFormat="1" ht="80.25" hidden="1" customHeight="1" x14ac:dyDescent="0.25">
      <c r="A95" s="27" t="s">
        <v>64</v>
      </c>
      <c r="B95" s="71"/>
      <c r="C95" s="71"/>
      <c r="D95" s="154"/>
      <c r="E95" s="154"/>
      <c r="F95" s="154"/>
      <c r="G95" s="154"/>
      <c r="H95" s="154"/>
      <c r="I95" s="154"/>
      <c r="J95" s="126"/>
      <c r="K95" s="83">
        <f t="shared" si="24"/>
        <v>0</v>
      </c>
      <c r="L95" s="83">
        <f t="shared" si="25"/>
        <v>0</v>
      </c>
      <c r="M95" s="83">
        <f t="shared" si="26"/>
        <v>0</v>
      </c>
      <c r="N95" s="83">
        <f t="shared" si="27"/>
        <v>0</v>
      </c>
      <c r="O95" s="83">
        <f t="shared" si="28"/>
        <v>0</v>
      </c>
      <c r="P95" s="83">
        <f t="shared" si="29"/>
        <v>0</v>
      </c>
      <c r="Q95" s="126"/>
      <c r="R95" s="126"/>
      <c r="S95" s="126"/>
    </row>
    <row r="96" spans="1:19" s="23" customFormat="1" ht="57.75" customHeight="1" x14ac:dyDescent="0.25">
      <c r="A96" s="27" t="s">
        <v>18</v>
      </c>
      <c r="B96" s="71">
        <v>906</v>
      </c>
      <c r="C96" s="71" t="s">
        <v>49</v>
      </c>
      <c r="D96" s="154">
        <v>481.6</v>
      </c>
      <c r="E96" s="154">
        <v>39.1</v>
      </c>
      <c r="F96" s="154">
        <v>481.6</v>
      </c>
      <c r="G96" s="154">
        <v>39.1</v>
      </c>
      <c r="H96" s="154">
        <v>481.6</v>
      </c>
      <c r="I96" s="154">
        <v>39.1</v>
      </c>
      <c r="J96" s="126"/>
      <c r="K96" s="83">
        <f t="shared" si="24"/>
        <v>39.048648648648651</v>
      </c>
      <c r="L96" s="83">
        <f t="shared" si="25"/>
        <v>5.1351351351350161E-2</v>
      </c>
      <c r="M96" s="83">
        <f t="shared" si="26"/>
        <v>39.048648648648651</v>
      </c>
      <c r="N96" s="83">
        <f t="shared" si="27"/>
        <v>5.1351351351350161E-2</v>
      </c>
      <c r="O96" s="83">
        <f t="shared" si="28"/>
        <v>39.048648648648651</v>
      </c>
      <c r="P96" s="83">
        <f t="shared" si="29"/>
        <v>5.1351351351350161E-2</v>
      </c>
      <c r="Q96" s="126"/>
      <c r="R96" s="126"/>
      <c r="S96" s="126"/>
    </row>
    <row r="97" spans="1:19" s="23" customFormat="1" ht="80.25" customHeight="1" x14ac:dyDescent="0.25">
      <c r="A97" s="31" t="s">
        <v>17</v>
      </c>
      <c r="B97" s="73"/>
      <c r="C97" s="73"/>
      <c r="D97" s="138">
        <f>328.1+31.4</f>
        <v>359.5</v>
      </c>
      <c r="E97" s="138">
        <v>5.0999999999999996</v>
      </c>
      <c r="F97" s="138">
        <f>328.1-28.9</f>
        <v>299.20000000000005</v>
      </c>
      <c r="G97" s="138">
        <v>4.2</v>
      </c>
      <c r="H97" s="138">
        <v>299.5</v>
      </c>
      <c r="I97" s="138">
        <v>4.2</v>
      </c>
      <c r="J97" s="126"/>
      <c r="K97" s="83">
        <f t="shared" si="24"/>
        <v>29.148648648648649</v>
      </c>
      <c r="L97" s="83">
        <f t="shared" si="25"/>
        <v>-24.048648648648651</v>
      </c>
      <c r="M97" s="83">
        <f t="shared" si="26"/>
        <v>24.259459459459464</v>
      </c>
      <c r="N97" s="83">
        <f t="shared" si="27"/>
        <v>-20.059459459459465</v>
      </c>
      <c r="O97" s="83">
        <f t="shared" si="28"/>
        <v>24.283783783783782</v>
      </c>
      <c r="P97" s="83">
        <f t="shared" si="29"/>
        <v>-20.083783783783783</v>
      </c>
      <c r="Q97" s="126"/>
      <c r="R97" s="126"/>
      <c r="S97" s="126"/>
    </row>
    <row r="98" spans="1:19" s="23" customFormat="1" ht="70.5" customHeight="1" x14ac:dyDescent="0.25">
      <c r="A98" s="31" t="s">
        <v>77</v>
      </c>
      <c r="B98" s="73">
        <v>906</v>
      </c>
      <c r="C98" s="73" t="s">
        <v>55</v>
      </c>
      <c r="D98" s="138">
        <f>486.4-138.7</f>
        <v>347.7</v>
      </c>
      <c r="E98" s="138">
        <v>39.5</v>
      </c>
      <c r="F98" s="138">
        <v>681</v>
      </c>
      <c r="G98" s="138">
        <v>55.3</v>
      </c>
      <c r="H98" s="138"/>
      <c r="I98" s="138"/>
      <c r="J98" s="126"/>
      <c r="K98" s="83">
        <f t="shared" si="24"/>
        <v>28.191891891891892</v>
      </c>
      <c r="L98" s="83">
        <f t="shared" si="25"/>
        <v>11.308108108108108</v>
      </c>
      <c r="M98" s="83">
        <f t="shared" si="26"/>
        <v>55.216216216216218</v>
      </c>
      <c r="N98" s="83">
        <f t="shared" si="27"/>
        <v>8.3783783783779597E-2</v>
      </c>
      <c r="O98" s="83">
        <f t="shared" si="28"/>
        <v>0</v>
      </c>
      <c r="P98" s="83">
        <f t="shared" si="29"/>
        <v>0</v>
      </c>
      <c r="Q98" s="126"/>
      <c r="R98" s="126"/>
      <c r="S98" s="126"/>
    </row>
    <row r="99" spans="1:19" s="23" customFormat="1" ht="70.5" customHeight="1" x14ac:dyDescent="0.25">
      <c r="A99" s="31" t="s">
        <v>111</v>
      </c>
      <c r="B99" s="73">
        <v>906</v>
      </c>
      <c r="C99" s="73" t="s">
        <v>55</v>
      </c>
      <c r="D99" s="138">
        <v>22010.6</v>
      </c>
      <c r="E99" s="138">
        <v>1784.7</v>
      </c>
      <c r="F99" s="138"/>
      <c r="G99" s="138"/>
      <c r="H99" s="138"/>
      <c r="I99" s="138"/>
      <c r="J99" s="126"/>
      <c r="K99" s="83">
        <f t="shared" si="24"/>
        <v>1784.6432432432432</v>
      </c>
      <c r="L99" s="83">
        <f t="shared" si="25"/>
        <v>5.6756756756840332E-2</v>
      </c>
      <c r="M99" s="83">
        <f t="shared" si="26"/>
        <v>0</v>
      </c>
      <c r="N99" s="83">
        <f t="shared" si="27"/>
        <v>0</v>
      </c>
      <c r="O99" s="83">
        <f t="shared" si="28"/>
        <v>0</v>
      </c>
      <c r="P99" s="83">
        <f t="shared" si="29"/>
        <v>0</v>
      </c>
      <c r="Q99" s="126"/>
      <c r="R99" s="126"/>
      <c r="S99" s="126"/>
    </row>
    <row r="100" spans="1:19" s="23" customFormat="1" ht="70.5" customHeight="1" x14ac:dyDescent="0.25">
      <c r="A100" s="31" t="s">
        <v>112</v>
      </c>
      <c r="B100" s="73"/>
      <c r="C100" s="73"/>
      <c r="D100" s="138">
        <v>3461.2</v>
      </c>
      <c r="E100" s="138">
        <v>5.7</v>
      </c>
      <c r="F100" s="138"/>
      <c r="G100" s="138"/>
      <c r="H100" s="138"/>
      <c r="I100" s="138"/>
      <c r="J100" s="126"/>
      <c r="K100" s="83">
        <f t="shared" si="24"/>
        <v>280.63783783783782</v>
      </c>
      <c r="L100" s="83">
        <f t="shared" si="25"/>
        <v>-274.93783783783783</v>
      </c>
      <c r="M100" s="83">
        <f t="shared" si="26"/>
        <v>0</v>
      </c>
      <c r="N100" s="83">
        <f t="shared" si="27"/>
        <v>0</v>
      </c>
      <c r="O100" s="83">
        <f t="shared" si="28"/>
        <v>0</v>
      </c>
      <c r="P100" s="83">
        <f t="shared" si="29"/>
        <v>0</v>
      </c>
      <c r="Q100" s="126"/>
      <c r="R100" s="126"/>
      <c r="S100" s="126"/>
    </row>
    <row r="101" spans="1:19" s="23" customFormat="1" ht="105" hidden="1" customHeight="1" x14ac:dyDescent="0.25">
      <c r="A101" s="43"/>
      <c r="B101" s="73"/>
      <c r="C101" s="73"/>
      <c r="D101" s="138"/>
      <c r="E101" s="138"/>
      <c r="F101" s="138"/>
      <c r="G101" s="138"/>
      <c r="H101" s="138"/>
      <c r="I101" s="138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</row>
    <row r="102" spans="1:19" s="16" customFormat="1" ht="14.25" customHeight="1" thickBot="1" x14ac:dyDescent="0.3">
      <c r="A102" s="21"/>
      <c r="B102" s="68"/>
      <c r="C102" s="68"/>
      <c r="D102" s="139"/>
      <c r="E102" s="139"/>
      <c r="F102" s="139"/>
      <c r="G102" s="139"/>
      <c r="H102" s="139"/>
      <c r="I102" s="139"/>
      <c r="J102" s="83"/>
      <c r="K102" s="83"/>
      <c r="L102" s="83"/>
      <c r="M102" s="83"/>
      <c r="N102" s="83"/>
      <c r="O102" s="83"/>
      <c r="P102" s="83"/>
      <c r="Q102" s="83"/>
      <c r="R102" s="83"/>
      <c r="S102" s="83"/>
    </row>
    <row r="103" spans="1:19" s="16" customFormat="1" ht="13.5" thickBot="1" x14ac:dyDescent="0.3">
      <c r="A103" s="23"/>
      <c r="B103" s="65"/>
      <c r="C103" s="65"/>
      <c r="D103" s="140"/>
      <c r="E103" s="140"/>
      <c r="F103" s="140"/>
      <c r="G103" s="140"/>
      <c r="H103" s="140"/>
      <c r="I103" s="140"/>
      <c r="J103" s="83"/>
      <c r="K103" s="83"/>
      <c r="L103" s="83"/>
      <c r="M103" s="83"/>
      <c r="N103" s="83"/>
      <c r="O103" s="83"/>
      <c r="P103" s="83"/>
      <c r="Q103" s="83"/>
      <c r="R103" s="83"/>
      <c r="S103" s="83"/>
    </row>
    <row r="104" spans="1:19" s="23" customFormat="1" ht="59.25" hidden="1" customHeight="1" x14ac:dyDescent="0.25">
      <c r="A104" s="12" t="s">
        <v>19</v>
      </c>
      <c r="B104" s="66"/>
      <c r="C104" s="66"/>
      <c r="D104" s="136">
        <f t="shared" ref="D104:I104" si="30">SUM(D105:D106)</f>
        <v>0</v>
      </c>
      <c r="E104" s="136">
        <f t="shared" si="30"/>
        <v>0</v>
      </c>
      <c r="F104" s="136">
        <f>SUM(F105:F106)</f>
        <v>0</v>
      </c>
      <c r="G104" s="136">
        <f>SUM(G105:G106)</f>
        <v>0</v>
      </c>
      <c r="H104" s="136">
        <f t="shared" si="30"/>
        <v>0</v>
      </c>
      <c r="I104" s="136">
        <f t="shared" si="30"/>
        <v>0</v>
      </c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</row>
    <row r="105" spans="1:19" s="16" customFormat="1" ht="33.75" hidden="1" customHeight="1" x14ac:dyDescent="0.25">
      <c r="A105" s="27"/>
      <c r="B105" s="71"/>
      <c r="C105" s="71"/>
      <c r="D105" s="154"/>
      <c r="E105" s="154"/>
      <c r="F105" s="154"/>
      <c r="G105" s="154"/>
      <c r="H105" s="154"/>
      <c r="I105" s="154"/>
      <c r="J105" s="83"/>
      <c r="K105" s="83"/>
      <c r="L105" s="83"/>
      <c r="M105" s="83"/>
      <c r="N105" s="83"/>
      <c r="O105" s="83"/>
      <c r="P105" s="83"/>
      <c r="Q105" s="83"/>
      <c r="R105" s="83"/>
      <c r="S105" s="83"/>
    </row>
    <row r="106" spans="1:19" s="16" customFormat="1" ht="13.5" hidden="1" thickBot="1" x14ac:dyDescent="0.3">
      <c r="A106" s="21"/>
      <c r="B106" s="68"/>
      <c r="C106" s="68"/>
      <c r="D106" s="139"/>
      <c r="E106" s="139"/>
      <c r="F106" s="139"/>
      <c r="G106" s="139"/>
      <c r="H106" s="139"/>
      <c r="I106" s="139"/>
      <c r="J106" s="83"/>
      <c r="K106" s="83"/>
      <c r="L106" s="83"/>
      <c r="M106" s="83"/>
      <c r="N106" s="83"/>
      <c r="O106" s="83"/>
      <c r="P106" s="83"/>
      <c r="Q106" s="83"/>
      <c r="R106" s="83"/>
      <c r="S106" s="83"/>
    </row>
    <row r="107" spans="1:19" s="16" customFormat="1" ht="13.5" hidden="1" thickBot="1" x14ac:dyDescent="0.3">
      <c r="A107" s="23"/>
      <c r="B107" s="65"/>
      <c r="C107" s="65"/>
      <c r="D107" s="140"/>
      <c r="E107" s="140"/>
      <c r="F107" s="140"/>
      <c r="G107" s="140"/>
      <c r="H107" s="140"/>
      <c r="I107" s="140"/>
      <c r="J107" s="83"/>
      <c r="K107" s="83"/>
      <c r="L107" s="83"/>
      <c r="M107" s="83"/>
      <c r="N107" s="83"/>
      <c r="O107" s="83"/>
      <c r="P107" s="83"/>
      <c r="Q107" s="83"/>
      <c r="R107" s="83"/>
      <c r="S107" s="83"/>
    </row>
    <row r="108" spans="1:19" s="16" customFormat="1" ht="57.75" customHeight="1" x14ac:dyDescent="0.25">
      <c r="A108" s="12" t="s">
        <v>20</v>
      </c>
      <c r="B108" s="66"/>
      <c r="C108" s="66"/>
      <c r="D108" s="136">
        <f t="shared" ref="D108:I108" si="31">SUM(D109:D112)</f>
        <v>464.29999999999995</v>
      </c>
      <c r="E108" s="136">
        <f t="shared" si="31"/>
        <v>37.700000000000003</v>
      </c>
      <c r="F108" s="136">
        <f t="shared" si="31"/>
        <v>463.3</v>
      </c>
      <c r="G108" s="136">
        <f t="shared" si="31"/>
        <v>37.6</v>
      </c>
      <c r="H108" s="136">
        <f t="shared" si="31"/>
        <v>463.3</v>
      </c>
      <c r="I108" s="136">
        <f t="shared" si="31"/>
        <v>37.6</v>
      </c>
      <c r="J108" s="83"/>
      <c r="K108" s="83"/>
      <c r="L108" s="83"/>
      <c r="M108" s="83"/>
      <c r="N108" s="83"/>
      <c r="O108" s="83"/>
      <c r="P108" s="83"/>
      <c r="Q108" s="83"/>
      <c r="R108" s="83"/>
      <c r="S108" s="83"/>
    </row>
    <row r="109" spans="1:19" s="16" customFormat="1" ht="75" customHeight="1" x14ac:dyDescent="0.25">
      <c r="A109" s="27" t="s">
        <v>21</v>
      </c>
      <c r="B109" s="71">
        <v>913</v>
      </c>
      <c r="C109" s="71" t="s">
        <v>57</v>
      </c>
      <c r="D109" s="154">
        <f>450.4+13.9</f>
        <v>464.29999999999995</v>
      </c>
      <c r="E109" s="154">
        <v>37.700000000000003</v>
      </c>
      <c r="F109" s="154">
        <f>449.5+13.8</f>
        <v>463.3</v>
      </c>
      <c r="G109" s="154">
        <v>37.6</v>
      </c>
      <c r="H109" s="154">
        <f>449.5+13.8</f>
        <v>463.3</v>
      </c>
      <c r="I109" s="154">
        <v>37.6</v>
      </c>
      <c r="J109" s="83"/>
      <c r="K109" s="83">
        <f>D109*7.5/92.5</f>
        <v>37.64594594594594</v>
      </c>
      <c r="L109" s="83">
        <f>E109-K109</f>
        <v>5.4054054054063272E-2</v>
      </c>
      <c r="M109" s="83">
        <f>F109*7.5/92.5</f>
        <v>37.564864864864866</v>
      </c>
      <c r="N109" s="83">
        <f>G109-M109</f>
        <v>3.5135135135135442E-2</v>
      </c>
      <c r="O109" s="83">
        <f>H109*7.5/92.5</f>
        <v>37.564864864864866</v>
      </c>
      <c r="P109" s="83">
        <f>I109-O109</f>
        <v>3.5135135135135442E-2</v>
      </c>
      <c r="Q109" s="83"/>
      <c r="R109" s="83"/>
      <c r="S109" s="83"/>
    </row>
    <row r="110" spans="1:19" s="16" customFormat="1" ht="75" hidden="1" customHeight="1" x14ac:dyDescent="0.25">
      <c r="A110" s="189"/>
      <c r="B110" s="190"/>
      <c r="C110" s="189"/>
      <c r="D110" s="190"/>
      <c r="E110" s="188"/>
      <c r="F110" s="138"/>
      <c r="G110" s="138"/>
      <c r="H110" s="138"/>
      <c r="I110" s="138"/>
      <c r="J110" s="83"/>
      <c r="K110" s="83"/>
      <c r="L110" s="83"/>
      <c r="M110" s="83"/>
      <c r="N110" s="83"/>
      <c r="O110" s="83"/>
      <c r="P110" s="83"/>
      <c r="Q110" s="83"/>
      <c r="R110" s="83"/>
      <c r="S110" s="83"/>
    </row>
    <row r="111" spans="1:19" s="16" customFormat="1" ht="75" hidden="1" customHeight="1" x14ac:dyDescent="0.25">
      <c r="A111" s="189"/>
      <c r="B111" s="190"/>
      <c r="C111" s="189"/>
      <c r="D111" s="190"/>
      <c r="E111" s="188"/>
      <c r="F111" s="138"/>
      <c r="G111" s="138"/>
      <c r="H111" s="138"/>
      <c r="I111" s="138"/>
      <c r="J111" s="83"/>
      <c r="K111" s="83"/>
      <c r="L111" s="83"/>
      <c r="M111" s="83"/>
      <c r="N111" s="83"/>
      <c r="O111" s="83"/>
      <c r="P111" s="83"/>
      <c r="Q111" s="83"/>
      <c r="R111" s="83"/>
      <c r="S111" s="83"/>
    </row>
    <row r="112" spans="1:19" s="16" customFormat="1" ht="15.75" hidden="1" customHeight="1" thickBot="1" x14ac:dyDescent="0.3">
      <c r="A112" s="32"/>
      <c r="B112" s="74"/>
      <c r="C112" s="74"/>
      <c r="D112" s="164"/>
      <c r="E112" s="164"/>
      <c r="F112" s="164"/>
      <c r="G112" s="164"/>
      <c r="H112" s="164"/>
      <c r="I112" s="164"/>
      <c r="J112" s="83"/>
      <c r="K112" s="83"/>
      <c r="L112" s="83"/>
      <c r="M112" s="83"/>
      <c r="N112" s="83"/>
      <c r="O112" s="83"/>
      <c r="P112" s="83"/>
      <c r="Q112" s="83"/>
      <c r="R112" s="83"/>
      <c r="S112" s="83"/>
    </row>
    <row r="113" spans="1:19" s="16" customFormat="1" ht="15.75" customHeight="1" thickBot="1" x14ac:dyDescent="0.3">
      <c r="A113" s="14"/>
      <c r="B113" s="63"/>
      <c r="C113" s="63"/>
      <c r="D113" s="135"/>
      <c r="E113" s="135"/>
      <c r="F113" s="135"/>
      <c r="G113" s="135"/>
      <c r="H113" s="135"/>
      <c r="I113" s="135"/>
      <c r="J113" s="83"/>
      <c r="K113" s="83"/>
      <c r="L113" s="83"/>
      <c r="M113" s="83"/>
      <c r="N113" s="83"/>
      <c r="O113" s="83"/>
      <c r="P113" s="83"/>
      <c r="Q113" s="83"/>
      <c r="R113" s="83"/>
      <c r="S113" s="83"/>
    </row>
    <row r="114" spans="1:19" s="37" customFormat="1" ht="21" customHeight="1" thickBot="1" x14ac:dyDescent="0.3">
      <c r="A114" s="34" t="s">
        <v>23</v>
      </c>
      <c r="B114" s="75"/>
      <c r="C114" s="75"/>
      <c r="D114" s="165">
        <f t="shared" ref="D114:I114" si="32">SUM(D14,D18,D43,D93,D104,D108)</f>
        <v>577007.60000000009</v>
      </c>
      <c r="E114" s="165">
        <f t="shared" si="32"/>
        <v>32931.800000000003</v>
      </c>
      <c r="F114" s="165">
        <f t="shared" si="32"/>
        <v>340819.5</v>
      </c>
      <c r="G114" s="165">
        <f t="shared" si="32"/>
        <v>22414</v>
      </c>
      <c r="H114" s="165">
        <f t="shared" si="32"/>
        <v>408493.7</v>
      </c>
      <c r="I114" s="165">
        <f t="shared" si="32"/>
        <v>22525.1</v>
      </c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</row>
    <row r="115" spans="1:19" s="37" customFormat="1" ht="21" customHeight="1" thickBot="1" x14ac:dyDescent="0.3">
      <c r="A115" s="38"/>
      <c r="B115" s="76"/>
      <c r="C115" s="76"/>
      <c r="D115" s="166"/>
      <c r="E115" s="166"/>
      <c r="F115" s="166"/>
      <c r="G115" s="166"/>
      <c r="H115" s="166"/>
      <c r="I115" s="166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</row>
    <row r="116" spans="1:19" s="37" customFormat="1" ht="39" customHeight="1" x14ac:dyDescent="0.25">
      <c r="A116" s="12" t="s">
        <v>24</v>
      </c>
      <c r="B116" s="66"/>
      <c r="C116" s="66"/>
      <c r="D116" s="136">
        <f t="shared" ref="D116:I116" si="33">SUM(D117:D121)</f>
        <v>2000</v>
      </c>
      <c r="E116" s="136">
        <f t="shared" si="33"/>
        <v>0</v>
      </c>
      <c r="F116" s="136">
        <f t="shared" si="33"/>
        <v>0</v>
      </c>
      <c r="G116" s="136">
        <f t="shared" si="33"/>
        <v>0</v>
      </c>
      <c r="H116" s="136">
        <f t="shared" si="33"/>
        <v>0</v>
      </c>
      <c r="I116" s="136">
        <f t="shared" si="33"/>
        <v>0</v>
      </c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</row>
    <row r="117" spans="1:19" s="23" customFormat="1" ht="93" hidden="1" customHeight="1" x14ac:dyDescent="0.25">
      <c r="A117" s="43" t="s">
        <v>82</v>
      </c>
      <c r="B117" s="73">
        <v>904</v>
      </c>
      <c r="C117" s="73" t="s">
        <v>55</v>
      </c>
      <c r="D117" s="138">
        <f>29951.4-29951.4</f>
        <v>0</v>
      </c>
      <c r="E117" s="138"/>
      <c r="F117" s="138"/>
      <c r="G117" s="138"/>
      <c r="H117" s="138"/>
      <c r="I117" s="138"/>
      <c r="J117" s="126"/>
      <c r="K117" s="126"/>
      <c r="L117" s="126"/>
      <c r="M117" s="126"/>
      <c r="N117" s="126"/>
      <c r="O117" s="126"/>
      <c r="P117" s="126"/>
      <c r="Q117" s="126"/>
      <c r="R117" s="126"/>
      <c r="S117" s="126"/>
    </row>
    <row r="118" spans="1:19" s="23" customFormat="1" ht="99.75" hidden="1" customHeight="1" x14ac:dyDescent="0.25">
      <c r="A118" s="43" t="s">
        <v>25</v>
      </c>
      <c r="B118" s="73"/>
      <c r="C118" s="73"/>
      <c r="D118" s="138"/>
      <c r="E118" s="138"/>
      <c r="F118" s="138"/>
      <c r="G118" s="138"/>
      <c r="H118" s="138"/>
      <c r="I118" s="138"/>
      <c r="J118" s="126"/>
      <c r="K118" s="126"/>
      <c r="L118" s="126"/>
      <c r="M118" s="126"/>
      <c r="N118" s="126"/>
      <c r="O118" s="126"/>
      <c r="P118" s="126"/>
      <c r="Q118" s="126"/>
      <c r="R118" s="126"/>
      <c r="S118" s="126"/>
    </row>
    <row r="119" spans="1:19" s="23" customFormat="1" ht="99.75" customHeight="1" x14ac:dyDescent="0.25">
      <c r="A119" s="186" t="s">
        <v>131</v>
      </c>
      <c r="B119" s="187">
        <v>2000</v>
      </c>
      <c r="C119" s="186" t="s">
        <v>131</v>
      </c>
      <c r="D119" s="187">
        <v>2000</v>
      </c>
      <c r="E119" s="138"/>
      <c r="F119" s="138"/>
      <c r="G119" s="138"/>
      <c r="H119" s="138"/>
      <c r="I119" s="138"/>
      <c r="J119" s="126"/>
      <c r="K119" s="126"/>
      <c r="L119" s="126"/>
      <c r="M119" s="126"/>
      <c r="N119" s="126"/>
      <c r="O119" s="126"/>
      <c r="P119" s="126"/>
      <c r="Q119" s="126"/>
      <c r="R119" s="126"/>
      <c r="S119" s="126"/>
    </row>
    <row r="120" spans="1:19" s="23" customFormat="1" ht="75.75" hidden="1" customHeight="1" x14ac:dyDescent="0.25">
      <c r="A120" s="43"/>
      <c r="B120" s="73"/>
      <c r="C120" s="73"/>
      <c r="D120" s="138"/>
      <c r="E120" s="138"/>
      <c r="F120" s="138"/>
      <c r="G120" s="138"/>
      <c r="H120" s="138"/>
      <c r="I120" s="138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</row>
    <row r="121" spans="1:19" s="37" customFormat="1" ht="13.5" thickBot="1" x14ac:dyDescent="0.3">
      <c r="A121" s="21"/>
      <c r="B121" s="68"/>
      <c r="C121" s="68"/>
      <c r="D121" s="139"/>
      <c r="E121" s="139"/>
      <c r="F121" s="139"/>
      <c r="G121" s="139"/>
      <c r="H121" s="139"/>
      <c r="I121" s="139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</row>
    <row r="122" spans="1:19" s="37" customFormat="1" ht="13.5" customHeight="1" thickBot="1" x14ac:dyDescent="0.3">
      <c r="A122" s="40"/>
      <c r="B122" s="76"/>
      <c r="C122" s="76"/>
      <c r="D122" s="167"/>
      <c r="E122" s="167"/>
      <c r="F122" s="167"/>
      <c r="G122" s="167"/>
      <c r="H122" s="167"/>
      <c r="I122" s="16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</row>
    <row r="123" spans="1:19" s="37" customFormat="1" ht="30.75" hidden="1" customHeight="1" x14ac:dyDescent="0.25">
      <c r="A123" s="12" t="s">
        <v>26</v>
      </c>
      <c r="B123" s="66"/>
      <c r="C123" s="66"/>
      <c r="D123" s="136">
        <f t="shared" ref="D123:I123" si="34">SUM(D124:D127)</f>
        <v>0</v>
      </c>
      <c r="E123" s="136">
        <f t="shared" si="34"/>
        <v>0</v>
      </c>
      <c r="F123" s="136">
        <f t="shared" si="34"/>
        <v>0</v>
      </c>
      <c r="G123" s="136">
        <f t="shared" si="34"/>
        <v>0</v>
      </c>
      <c r="H123" s="136">
        <f t="shared" si="34"/>
        <v>0</v>
      </c>
      <c r="I123" s="136">
        <f t="shared" si="34"/>
        <v>0</v>
      </c>
      <c r="J123" s="127"/>
      <c r="K123" s="127"/>
      <c r="L123" s="127"/>
      <c r="M123" s="127"/>
      <c r="N123" s="127"/>
      <c r="O123" s="127"/>
      <c r="P123" s="127"/>
      <c r="Q123" s="127"/>
      <c r="R123" s="127"/>
      <c r="S123" s="127"/>
    </row>
    <row r="124" spans="1:19" s="23" customFormat="1" ht="120" hidden="1" customHeight="1" x14ac:dyDescent="0.25">
      <c r="A124" s="43" t="s">
        <v>27</v>
      </c>
      <c r="B124" s="73"/>
      <c r="C124" s="73"/>
      <c r="D124" s="138">
        <v>0</v>
      </c>
      <c r="E124" s="138"/>
      <c r="F124" s="138"/>
      <c r="G124" s="138"/>
      <c r="H124" s="138"/>
      <c r="I124" s="138"/>
      <c r="J124" s="126"/>
      <c r="K124" s="126"/>
      <c r="L124" s="126"/>
      <c r="M124" s="126"/>
      <c r="N124" s="126"/>
      <c r="O124" s="126"/>
      <c r="P124" s="126"/>
      <c r="Q124" s="126"/>
      <c r="R124" s="126"/>
      <c r="S124" s="126"/>
    </row>
    <row r="125" spans="1:19" s="23" customFormat="1" ht="72.75" hidden="1" customHeight="1" x14ac:dyDescent="0.25">
      <c r="A125" s="43" t="s">
        <v>70</v>
      </c>
      <c r="B125" s="73"/>
      <c r="C125" s="73"/>
      <c r="D125" s="138"/>
      <c r="E125" s="138"/>
      <c r="F125" s="138"/>
      <c r="G125" s="138"/>
      <c r="H125" s="138"/>
      <c r="I125" s="138"/>
      <c r="J125" s="126"/>
      <c r="K125" s="126"/>
      <c r="L125" s="126"/>
      <c r="M125" s="126"/>
      <c r="N125" s="126"/>
      <c r="O125" s="126"/>
      <c r="P125" s="126"/>
      <c r="Q125" s="126"/>
      <c r="R125" s="126"/>
      <c r="S125" s="126"/>
    </row>
    <row r="126" spans="1:19" s="23" customFormat="1" ht="72.75" hidden="1" customHeight="1" x14ac:dyDescent="0.25">
      <c r="A126" s="43" t="s">
        <v>62</v>
      </c>
      <c r="B126" s="73"/>
      <c r="C126" s="73"/>
      <c r="D126" s="138"/>
      <c r="E126" s="138"/>
      <c r="F126" s="138"/>
      <c r="G126" s="138"/>
      <c r="H126" s="138"/>
      <c r="I126" s="138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</row>
    <row r="127" spans="1:19" s="37" customFormat="1" ht="15" hidden="1" customHeight="1" thickBot="1" x14ac:dyDescent="0.3">
      <c r="A127" s="21"/>
      <c r="B127" s="68"/>
      <c r="C127" s="68"/>
      <c r="D127" s="168"/>
      <c r="E127" s="168"/>
      <c r="F127" s="168"/>
      <c r="G127" s="168"/>
      <c r="H127" s="168"/>
      <c r="I127" s="168"/>
      <c r="J127" s="127"/>
      <c r="K127" s="127"/>
      <c r="L127" s="127"/>
      <c r="M127" s="127"/>
      <c r="N127" s="127"/>
      <c r="O127" s="127"/>
      <c r="P127" s="127"/>
      <c r="Q127" s="127"/>
      <c r="R127" s="127"/>
      <c r="S127" s="127"/>
    </row>
    <row r="128" spans="1:19" s="37" customFormat="1" ht="15.75" hidden="1" customHeight="1" thickBot="1" x14ac:dyDescent="0.3">
      <c r="A128" s="23"/>
      <c r="B128" s="65"/>
      <c r="C128" s="65"/>
      <c r="D128" s="167"/>
      <c r="E128" s="167"/>
      <c r="F128" s="167"/>
      <c r="G128" s="167"/>
      <c r="H128" s="167"/>
      <c r="I128" s="167"/>
      <c r="J128" s="127"/>
      <c r="K128" s="127"/>
      <c r="L128" s="127"/>
      <c r="M128" s="127"/>
      <c r="N128" s="127"/>
      <c r="O128" s="127"/>
      <c r="P128" s="127"/>
      <c r="Q128" s="127"/>
      <c r="R128" s="127"/>
      <c r="S128" s="127"/>
    </row>
    <row r="129" spans="1:19" s="37" customFormat="1" ht="31.5" customHeight="1" thickBot="1" x14ac:dyDescent="0.3">
      <c r="A129" s="114" t="s">
        <v>28</v>
      </c>
      <c r="B129" s="111"/>
      <c r="C129" s="111"/>
      <c r="D129" s="169">
        <f t="shared" ref="D129:I129" si="35">SUM(D130:D131)</f>
        <v>1030.4000000000001</v>
      </c>
      <c r="E129" s="169">
        <f t="shared" si="35"/>
        <v>0</v>
      </c>
      <c r="F129" s="169">
        <f t="shared" si="35"/>
        <v>0</v>
      </c>
      <c r="G129" s="169">
        <f t="shared" si="35"/>
        <v>0</v>
      </c>
      <c r="H129" s="169">
        <f t="shared" si="35"/>
        <v>0</v>
      </c>
      <c r="I129" s="169">
        <f t="shared" si="35"/>
        <v>0</v>
      </c>
      <c r="J129" s="127"/>
      <c r="K129" s="127"/>
      <c r="L129" s="127"/>
      <c r="M129" s="127"/>
      <c r="N129" s="127"/>
      <c r="O129" s="127"/>
      <c r="P129" s="127"/>
      <c r="Q129" s="127"/>
      <c r="R129" s="127"/>
      <c r="S129" s="127"/>
    </row>
    <row r="130" spans="1:19" s="37" customFormat="1" ht="63" customHeight="1" x14ac:dyDescent="0.25">
      <c r="A130" s="186" t="s">
        <v>136</v>
      </c>
      <c r="B130" s="187">
        <v>1030.4000000000001</v>
      </c>
      <c r="C130" s="186" t="s">
        <v>136</v>
      </c>
      <c r="D130" s="187">
        <v>1030.4000000000001</v>
      </c>
      <c r="E130" s="171"/>
      <c r="F130" s="171"/>
      <c r="G130" s="171"/>
      <c r="H130" s="171"/>
      <c r="I130" s="172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</row>
    <row r="131" spans="1:19" s="37" customFormat="1" ht="15" customHeight="1" thickBot="1" x14ac:dyDescent="0.3">
      <c r="A131" s="103"/>
      <c r="B131" s="104"/>
      <c r="C131" s="104"/>
      <c r="D131" s="173"/>
      <c r="E131" s="173"/>
      <c r="F131" s="173"/>
      <c r="G131" s="173"/>
      <c r="H131" s="173"/>
      <c r="I131" s="174"/>
      <c r="J131" s="127"/>
      <c r="K131" s="127"/>
      <c r="L131" s="127"/>
      <c r="M131" s="127"/>
      <c r="N131" s="127"/>
      <c r="O131" s="127"/>
      <c r="P131" s="127"/>
      <c r="Q131" s="127"/>
      <c r="R131" s="127"/>
      <c r="S131" s="127"/>
    </row>
    <row r="132" spans="1:19" s="37" customFormat="1" ht="13.5" customHeight="1" x14ac:dyDescent="0.25">
      <c r="A132" s="38"/>
      <c r="B132" s="76"/>
      <c r="C132" s="76"/>
      <c r="D132" s="166"/>
      <c r="E132" s="166"/>
      <c r="F132" s="166"/>
      <c r="G132" s="166"/>
      <c r="H132" s="166"/>
      <c r="I132" s="166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</row>
    <row r="133" spans="1:19" s="14" customFormat="1" ht="33.75" hidden="1" customHeight="1" x14ac:dyDescent="0.25">
      <c r="A133" s="42" t="s">
        <v>28</v>
      </c>
      <c r="B133" s="66"/>
      <c r="C133" s="66"/>
      <c r="D133" s="136">
        <f t="shared" ref="D133:I133" si="36">SUM(D134:D136)</f>
        <v>0</v>
      </c>
      <c r="E133" s="136">
        <f t="shared" si="36"/>
        <v>0</v>
      </c>
      <c r="F133" s="136"/>
      <c r="G133" s="136">
        <f t="shared" si="36"/>
        <v>0</v>
      </c>
      <c r="H133" s="136">
        <f t="shared" si="36"/>
        <v>0</v>
      </c>
      <c r="I133" s="136">
        <f t="shared" si="36"/>
        <v>0</v>
      </c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</row>
    <row r="134" spans="1:19" s="23" customFormat="1" ht="57" hidden="1" customHeight="1" x14ac:dyDescent="0.25">
      <c r="B134" s="73"/>
      <c r="C134" s="73"/>
      <c r="D134" s="138"/>
      <c r="E134" s="138"/>
      <c r="F134" s="175"/>
      <c r="G134" s="138"/>
      <c r="H134" s="138"/>
      <c r="I134" s="138"/>
      <c r="J134" s="126"/>
      <c r="K134" s="126"/>
      <c r="L134" s="126"/>
      <c r="M134" s="126"/>
      <c r="N134" s="126"/>
      <c r="O134" s="126"/>
      <c r="P134" s="126"/>
      <c r="Q134" s="126"/>
      <c r="R134" s="126"/>
      <c r="S134" s="126"/>
    </row>
    <row r="135" spans="1:19" s="23" customFormat="1" ht="60.75" hidden="1" customHeight="1" x14ac:dyDescent="0.25">
      <c r="B135" s="73"/>
      <c r="C135" s="73"/>
      <c r="D135" s="138"/>
      <c r="E135" s="138"/>
      <c r="F135" s="175"/>
      <c r="G135" s="138"/>
      <c r="H135" s="138"/>
      <c r="I135" s="138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</row>
    <row r="136" spans="1:19" s="18" customFormat="1" ht="12" hidden="1" customHeight="1" thickBot="1" x14ac:dyDescent="0.3">
      <c r="A136" s="44"/>
      <c r="B136" s="77"/>
      <c r="C136" s="77"/>
      <c r="D136" s="176"/>
      <c r="E136" s="176"/>
      <c r="F136" s="176"/>
      <c r="G136" s="176"/>
      <c r="H136" s="176"/>
      <c r="I136" s="176"/>
      <c r="J136" s="125"/>
      <c r="K136" s="125"/>
      <c r="L136" s="125"/>
      <c r="M136" s="125"/>
      <c r="N136" s="125"/>
      <c r="O136" s="125"/>
      <c r="P136" s="125"/>
      <c r="Q136" s="125"/>
      <c r="R136" s="125"/>
      <c r="S136" s="125"/>
    </row>
    <row r="137" spans="1:19" s="18" customFormat="1" ht="13.5" thickBot="1" x14ac:dyDescent="0.3">
      <c r="A137" s="46"/>
      <c r="B137" s="78"/>
      <c r="C137" s="78"/>
      <c r="D137" s="177"/>
      <c r="E137" s="177"/>
      <c r="F137" s="177"/>
      <c r="G137" s="177"/>
      <c r="H137" s="177"/>
      <c r="I137" s="177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</row>
    <row r="138" spans="1:19" s="14" customFormat="1" ht="30.75" customHeight="1" x14ac:dyDescent="0.25">
      <c r="A138" s="42" t="s">
        <v>29</v>
      </c>
      <c r="B138" s="66"/>
      <c r="C138" s="66"/>
      <c r="D138" s="136">
        <f t="shared" ref="D138:I138" si="37">SUM(D139:D147)</f>
        <v>36524.5</v>
      </c>
      <c r="E138" s="136">
        <f>SUM(E139:E147)</f>
        <v>371.6</v>
      </c>
      <c r="F138" s="136">
        <f t="shared" si="37"/>
        <v>91.5</v>
      </c>
      <c r="G138" s="136">
        <f t="shared" si="37"/>
        <v>0</v>
      </c>
      <c r="H138" s="136">
        <f t="shared" si="37"/>
        <v>46414.8</v>
      </c>
      <c r="I138" s="136">
        <f t="shared" si="37"/>
        <v>0</v>
      </c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</row>
    <row r="139" spans="1:19" s="23" customFormat="1" ht="56.25" customHeight="1" x14ac:dyDescent="0.25">
      <c r="A139" s="28" t="s">
        <v>15</v>
      </c>
      <c r="B139" s="67">
        <v>904</v>
      </c>
      <c r="C139" s="67" t="s">
        <v>53</v>
      </c>
      <c r="D139" s="143">
        <f>91.5+29.7</f>
        <v>121.2</v>
      </c>
      <c r="E139" s="143"/>
      <c r="F139" s="143">
        <v>91.5</v>
      </c>
      <c r="G139" s="143"/>
      <c r="H139" s="143">
        <v>91.5</v>
      </c>
      <c r="I139" s="143"/>
      <c r="J139" s="126"/>
      <c r="K139" s="126"/>
      <c r="L139" s="126"/>
      <c r="M139" s="126"/>
      <c r="N139" s="126"/>
      <c r="O139" s="126"/>
      <c r="P139" s="126"/>
      <c r="Q139" s="126"/>
      <c r="R139" s="126"/>
      <c r="S139" s="126"/>
    </row>
    <row r="140" spans="1:19" s="16" customFormat="1" ht="61.5" hidden="1" customHeight="1" x14ac:dyDescent="0.25">
      <c r="A140" s="43" t="s">
        <v>71</v>
      </c>
      <c r="B140" s="73"/>
      <c r="C140" s="73"/>
      <c r="D140" s="138"/>
      <c r="E140" s="138"/>
      <c r="F140" s="138"/>
      <c r="G140" s="138"/>
      <c r="H140" s="138"/>
      <c r="I140" s="138"/>
      <c r="J140" s="83"/>
      <c r="K140" s="83"/>
      <c r="L140" s="83"/>
      <c r="M140" s="83"/>
      <c r="N140" s="83"/>
      <c r="O140" s="83"/>
      <c r="P140" s="83"/>
      <c r="Q140" s="83"/>
      <c r="R140" s="83"/>
      <c r="S140" s="83"/>
    </row>
    <row r="141" spans="1:19" s="16" customFormat="1" ht="63.75" hidden="1" customHeight="1" x14ac:dyDescent="0.25">
      <c r="A141" s="43" t="s">
        <v>72</v>
      </c>
      <c r="B141" s="73"/>
      <c r="C141" s="73"/>
      <c r="D141" s="138"/>
      <c r="E141" s="138"/>
      <c r="F141" s="138"/>
      <c r="G141" s="138"/>
      <c r="H141" s="138"/>
      <c r="I141" s="138"/>
      <c r="J141" s="83"/>
      <c r="K141" s="83"/>
      <c r="L141" s="83"/>
      <c r="M141" s="83"/>
      <c r="N141" s="83"/>
      <c r="O141" s="83"/>
      <c r="P141" s="83"/>
      <c r="Q141" s="83"/>
      <c r="R141" s="83"/>
      <c r="S141" s="83"/>
    </row>
    <row r="142" spans="1:19" s="16" customFormat="1" ht="89.25" hidden="1" customHeight="1" x14ac:dyDescent="0.25">
      <c r="A142" s="88" t="s">
        <v>61</v>
      </c>
      <c r="B142" s="73"/>
      <c r="C142" s="73"/>
      <c r="D142" s="138"/>
      <c r="E142" s="138"/>
      <c r="F142" s="138"/>
      <c r="G142" s="138"/>
      <c r="H142" s="138"/>
      <c r="I142" s="138"/>
      <c r="J142" s="83"/>
      <c r="K142" s="83"/>
      <c r="L142" s="83"/>
      <c r="M142" s="83"/>
      <c r="N142" s="83"/>
      <c r="O142" s="83"/>
      <c r="P142" s="83"/>
      <c r="Q142" s="83"/>
      <c r="R142" s="83"/>
      <c r="S142" s="83"/>
    </row>
    <row r="143" spans="1:19" s="16" customFormat="1" ht="96.75" customHeight="1" x14ac:dyDescent="0.25">
      <c r="A143" s="88" t="s">
        <v>119</v>
      </c>
      <c r="B143" s="73"/>
      <c r="C143" s="73"/>
      <c r="D143" s="138">
        <f>4582.1+5869.8</f>
        <v>10451.900000000001</v>
      </c>
      <c r="E143" s="138">
        <f>1361-989.4</f>
        <v>371.6</v>
      </c>
      <c r="F143" s="138"/>
      <c r="G143" s="138"/>
      <c r="H143" s="138"/>
      <c r="I143" s="138"/>
      <c r="J143" s="83"/>
      <c r="K143" s="83"/>
      <c r="L143" s="83"/>
      <c r="M143" s="83"/>
      <c r="N143" s="83"/>
      <c r="O143" s="83"/>
      <c r="P143" s="83"/>
      <c r="Q143" s="83"/>
      <c r="R143" s="83"/>
      <c r="S143" s="83"/>
    </row>
    <row r="144" spans="1:19" s="16" customFormat="1" ht="114.75" customHeight="1" x14ac:dyDescent="0.25">
      <c r="A144" s="88" t="s">
        <v>124</v>
      </c>
      <c r="B144" s="73"/>
      <c r="C144" s="73"/>
      <c r="D144" s="138"/>
      <c r="E144" s="138"/>
      <c r="F144" s="138"/>
      <c r="G144" s="138"/>
      <c r="H144" s="183">
        <v>46323.3</v>
      </c>
      <c r="I144" s="138"/>
      <c r="J144" s="83"/>
      <c r="K144" s="83"/>
      <c r="L144" s="83"/>
      <c r="M144" s="83"/>
      <c r="N144" s="83"/>
      <c r="O144" s="83"/>
      <c r="P144" s="83"/>
      <c r="Q144" s="83"/>
      <c r="R144" s="83"/>
      <c r="S144" s="83"/>
    </row>
    <row r="145" spans="1:19" s="16" customFormat="1" ht="82.5" customHeight="1" x14ac:dyDescent="0.25">
      <c r="A145" s="186" t="s">
        <v>129</v>
      </c>
      <c r="B145" s="187">
        <v>25951.4</v>
      </c>
      <c r="C145" s="186" t="s">
        <v>129</v>
      </c>
      <c r="D145" s="187">
        <v>25951.4</v>
      </c>
      <c r="E145" s="138"/>
      <c r="F145" s="138"/>
      <c r="G145" s="138"/>
      <c r="H145" s="183"/>
      <c r="I145" s="138"/>
      <c r="J145" s="83"/>
      <c r="K145" s="83"/>
      <c r="L145" s="83"/>
      <c r="M145" s="83"/>
      <c r="N145" s="83"/>
      <c r="O145" s="83"/>
      <c r="P145" s="83"/>
      <c r="Q145" s="83"/>
      <c r="R145" s="83"/>
      <c r="S145" s="83"/>
    </row>
    <row r="146" spans="1:19" s="16" customFormat="1" ht="68.25" hidden="1" customHeight="1" x14ac:dyDescent="0.25">
      <c r="A146" s="88" t="s">
        <v>139</v>
      </c>
      <c r="B146" s="73"/>
      <c r="C146" s="73"/>
      <c r="D146" s="138"/>
      <c r="E146" s="138">
        <v>0</v>
      </c>
      <c r="F146" s="138"/>
      <c r="G146" s="138"/>
      <c r="H146" s="183"/>
      <c r="I146" s="138"/>
      <c r="J146" s="83"/>
      <c r="K146" s="83"/>
      <c r="L146" s="83"/>
      <c r="M146" s="83"/>
      <c r="N146" s="83"/>
      <c r="O146" s="83"/>
      <c r="P146" s="83"/>
      <c r="Q146" s="83"/>
      <c r="R146" s="83"/>
      <c r="S146" s="83"/>
    </row>
    <row r="147" spans="1:19" s="16" customFormat="1" ht="13.5" thickBot="1" x14ac:dyDescent="0.3">
      <c r="A147" s="47"/>
      <c r="B147" s="68"/>
      <c r="C147" s="68"/>
      <c r="D147" s="139"/>
      <c r="E147" s="139"/>
      <c r="F147" s="139"/>
      <c r="G147" s="139"/>
      <c r="H147" s="139"/>
      <c r="I147" s="139"/>
      <c r="J147" s="83"/>
      <c r="K147" s="83"/>
      <c r="L147" s="83"/>
      <c r="M147" s="83"/>
      <c r="N147" s="83"/>
      <c r="O147" s="83"/>
      <c r="P147" s="83"/>
      <c r="Q147" s="83"/>
      <c r="R147" s="83"/>
      <c r="S147" s="83"/>
    </row>
    <row r="148" spans="1:19" s="16" customFormat="1" x14ac:dyDescent="0.25">
      <c r="A148" s="48"/>
      <c r="B148" s="65"/>
      <c r="C148" s="65"/>
      <c r="D148" s="140"/>
      <c r="E148" s="140"/>
      <c r="F148" s="140"/>
      <c r="G148" s="140"/>
      <c r="H148" s="140"/>
      <c r="I148" s="140"/>
      <c r="J148" s="83"/>
      <c r="K148" s="83"/>
      <c r="L148" s="83"/>
      <c r="M148" s="83"/>
      <c r="N148" s="83"/>
      <c r="O148" s="83"/>
      <c r="P148" s="83"/>
      <c r="Q148" s="83"/>
      <c r="R148" s="83"/>
      <c r="S148" s="83"/>
    </row>
    <row r="149" spans="1:19" s="14" customFormat="1" ht="21" hidden="1" customHeight="1" x14ac:dyDescent="0.25">
      <c r="A149" s="42" t="s">
        <v>30</v>
      </c>
      <c r="B149" s="66"/>
      <c r="C149" s="66"/>
      <c r="D149" s="136">
        <f t="shared" ref="D149:I149" si="38">SUM(D150:D151)</f>
        <v>0</v>
      </c>
      <c r="E149" s="136">
        <f t="shared" si="38"/>
        <v>0</v>
      </c>
      <c r="F149" s="136">
        <f t="shared" si="38"/>
        <v>0</v>
      </c>
      <c r="G149" s="136">
        <f t="shared" si="38"/>
        <v>0</v>
      </c>
      <c r="H149" s="136">
        <f t="shared" si="38"/>
        <v>0</v>
      </c>
      <c r="I149" s="136">
        <f t="shared" si="38"/>
        <v>0</v>
      </c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</row>
    <row r="150" spans="1:19" s="23" customFormat="1" ht="100.5" hidden="1" customHeight="1" x14ac:dyDescent="0.25">
      <c r="A150" s="31"/>
      <c r="B150" s="73"/>
      <c r="C150" s="73"/>
      <c r="D150" s="138"/>
      <c r="E150" s="138"/>
      <c r="F150" s="138"/>
      <c r="G150" s="138"/>
      <c r="H150" s="138"/>
      <c r="I150" s="138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</row>
    <row r="151" spans="1:19" s="16" customFormat="1" ht="13.5" hidden="1" thickBot="1" x14ac:dyDescent="0.3">
      <c r="A151" s="47"/>
      <c r="B151" s="68"/>
      <c r="C151" s="68"/>
      <c r="D151" s="139"/>
      <c r="E151" s="139"/>
      <c r="F151" s="139"/>
      <c r="G151" s="139"/>
      <c r="H151" s="139"/>
      <c r="I151" s="139"/>
      <c r="J151" s="83"/>
      <c r="K151" s="83"/>
      <c r="L151" s="83"/>
      <c r="M151" s="83"/>
      <c r="N151" s="83"/>
      <c r="O151" s="83"/>
      <c r="P151" s="83"/>
      <c r="Q151" s="83"/>
      <c r="R151" s="83"/>
      <c r="S151" s="83"/>
    </row>
    <row r="152" spans="1:19" s="16" customFormat="1" ht="13.5" thickBot="1" x14ac:dyDescent="0.3">
      <c r="A152" s="48"/>
      <c r="B152" s="65"/>
      <c r="C152" s="65"/>
      <c r="D152" s="140"/>
      <c r="E152" s="140"/>
      <c r="F152" s="140"/>
      <c r="G152" s="140"/>
      <c r="H152" s="140"/>
      <c r="I152" s="140"/>
      <c r="J152" s="83"/>
      <c r="K152" s="83"/>
      <c r="L152" s="83"/>
      <c r="M152" s="83"/>
      <c r="N152" s="83"/>
      <c r="O152" s="83"/>
      <c r="P152" s="83"/>
      <c r="Q152" s="83"/>
      <c r="R152" s="83"/>
      <c r="S152" s="83"/>
    </row>
    <row r="153" spans="1:19" s="14" customFormat="1" ht="26.25" customHeight="1" x14ac:dyDescent="0.25">
      <c r="A153" s="42" t="s">
        <v>31</v>
      </c>
      <c r="B153" s="66"/>
      <c r="C153" s="66"/>
      <c r="D153" s="136">
        <f t="shared" ref="D153:I153" si="39">SUM(D154:D158)</f>
        <v>5081.3</v>
      </c>
      <c r="E153" s="136">
        <f t="shared" si="39"/>
        <v>0</v>
      </c>
      <c r="F153" s="136">
        <f t="shared" si="39"/>
        <v>0</v>
      </c>
      <c r="G153" s="136">
        <f t="shared" si="39"/>
        <v>0</v>
      </c>
      <c r="H153" s="136">
        <f t="shared" si="39"/>
        <v>0</v>
      </c>
      <c r="I153" s="136">
        <f t="shared" si="39"/>
        <v>0</v>
      </c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</row>
    <row r="154" spans="1:19" s="23" customFormat="1" ht="69" customHeight="1" x14ac:dyDescent="0.25">
      <c r="A154" s="31" t="s">
        <v>127</v>
      </c>
      <c r="B154" s="73">
        <v>904</v>
      </c>
      <c r="C154" s="73" t="s">
        <v>59</v>
      </c>
      <c r="D154" s="138">
        <v>3826.1</v>
      </c>
      <c r="E154" s="138"/>
      <c r="F154" s="138"/>
      <c r="G154" s="138"/>
      <c r="H154" s="138"/>
      <c r="I154" s="138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</row>
    <row r="155" spans="1:19" s="23" customFormat="1" ht="109.5" customHeight="1" x14ac:dyDescent="0.25">
      <c r="A155" s="185" t="s">
        <v>128</v>
      </c>
      <c r="B155" s="184">
        <v>1255.2</v>
      </c>
      <c r="C155" s="185" t="s">
        <v>128</v>
      </c>
      <c r="D155" s="184">
        <v>1255.2</v>
      </c>
      <c r="E155" s="163"/>
      <c r="F155" s="163"/>
      <c r="G155" s="163"/>
      <c r="H155" s="178"/>
      <c r="I155" s="213"/>
      <c r="J155" s="126"/>
      <c r="K155" s="126"/>
      <c r="L155" s="126"/>
      <c r="M155" s="126"/>
      <c r="N155" s="126"/>
      <c r="O155" s="126"/>
      <c r="P155" s="126"/>
      <c r="Q155" s="126"/>
      <c r="R155" s="126"/>
      <c r="S155" s="126"/>
    </row>
    <row r="156" spans="1:19" s="23" customFormat="1" ht="69" hidden="1" customHeight="1" x14ac:dyDescent="0.25">
      <c r="A156" s="214"/>
      <c r="B156" s="94"/>
      <c r="C156" s="94"/>
      <c r="D156" s="163"/>
      <c r="E156" s="163"/>
      <c r="F156" s="163"/>
      <c r="G156" s="163"/>
      <c r="H156" s="178"/>
      <c r="I156" s="213"/>
      <c r="J156" s="126"/>
      <c r="K156" s="126"/>
      <c r="L156" s="126"/>
      <c r="M156" s="126"/>
      <c r="N156" s="126"/>
      <c r="O156" s="126"/>
      <c r="P156" s="126"/>
      <c r="Q156" s="126"/>
      <c r="R156" s="126"/>
      <c r="S156" s="126"/>
    </row>
    <row r="157" spans="1:19" s="23" customFormat="1" ht="69" hidden="1" customHeight="1" x14ac:dyDescent="0.25">
      <c r="A157" s="214"/>
      <c r="B157" s="94"/>
      <c r="C157" s="94"/>
      <c r="D157" s="163"/>
      <c r="E157" s="163"/>
      <c r="F157" s="163"/>
      <c r="G157" s="163"/>
      <c r="H157" s="178"/>
      <c r="I157" s="213"/>
      <c r="J157" s="126"/>
      <c r="K157" s="126"/>
      <c r="L157" s="126"/>
      <c r="M157" s="126"/>
      <c r="N157" s="126"/>
      <c r="O157" s="126"/>
      <c r="P157" s="126"/>
      <c r="Q157" s="126"/>
      <c r="R157" s="126"/>
      <c r="S157" s="126"/>
    </row>
    <row r="158" spans="1:19" s="16" customFormat="1" ht="13.5" thickBot="1" x14ac:dyDescent="0.3">
      <c r="A158" s="47"/>
      <c r="B158" s="68"/>
      <c r="C158" s="68"/>
      <c r="D158" s="139"/>
      <c r="E158" s="139"/>
      <c r="F158" s="139"/>
      <c r="G158" s="139"/>
      <c r="H158" s="139"/>
      <c r="I158" s="139"/>
      <c r="J158" s="83"/>
      <c r="K158" s="83"/>
      <c r="L158" s="83"/>
      <c r="M158" s="83"/>
      <c r="N158" s="83"/>
      <c r="O158" s="83"/>
      <c r="P158" s="83"/>
      <c r="Q158" s="83"/>
      <c r="R158" s="83"/>
      <c r="S158" s="83"/>
    </row>
    <row r="159" spans="1:19" s="16" customFormat="1" ht="13.5" thickBot="1" x14ac:dyDescent="0.3">
      <c r="A159" s="48"/>
      <c r="B159" s="65"/>
      <c r="C159" s="65"/>
      <c r="D159" s="140"/>
      <c r="E159" s="140"/>
      <c r="F159" s="140"/>
      <c r="G159" s="140"/>
      <c r="H159" s="140"/>
      <c r="I159" s="140"/>
      <c r="J159" s="83"/>
      <c r="K159" s="83"/>
      <c r="L159" s="83"/>
      <c r="M159" s="83"/>
      <c r="N159" s="83"/>
      <c r="O159" s="83"/>
      <c r="P159" s="83"/>
      <c r="Q159" s="83"/>
      <c r="R159" s="83"/>
      <c r="S159" s="83"/>
    </row>
    <row r="160" spans="1:19" s="14" customFormat="1" ht="21" customHeight="1" x14ac:dyDescent="0.25">
      <c r="A160" s="42" t="s">
        <v>32</v>
      </c>
      <c r="B160" s="66"/>
      <c r="C160" s="66"/>
      <c r="D160" s="136">
        <f t="shared" ref="D160:I160" si="40">SUM(D161:D166)</f>
        <v>5826.1</v>
      </c>
      <c r="E160" s="136">
        <f t="shared" si="40"/>
        <v>0</v>
      </c>
      <c r="F160" s="136">
        <f t="shared" si="40"/>
        <v>57696.1</v>
      </c>
      <c r="G160" s="136">
        <f t="shared" si="40"/>
        <v>0</v>
      </c>
      <c r="H160" s="136">
        <f t="shared" si="40"/>
        <v>0</v>
      </c>
      <c r="I160" s="136">
        <f t="shared" si="40"/>
        <v>0</v>
      </c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</row>
    <row r="161" spans="1:19" s="23" customFormat="1" ht="112.5" hidden="1" customHeight="1" x14ac:dyDescent="0.25">
      <c r="A161" s="27" t="s">
        <v>33</v>
      </c>
      <c r="B161" s="71"/>
      <c r="C161" s="71"/>
      <c r="D161" s="154">
        <v>0</v>
      </c>
      <c r="E161" s="154">
        <v>0</v>
      </c>
      <c r="F161" s="154">
        <v>0</v>
      </c>
      <c r="G161" s="154">
        <v>0</v>
      </c>
      <c r="H161" s="154">
        <v>0</v>
      </c>
      <c r="I161" s="154">
        <v>0</v>
      </c>
      <c r="J161" s="126"/>
      <c r="K161" s="126"/>
      <c r="L161" s="126"/>
      <c r="M161" s="126"/>
      <c r="N161" s="126"/>
      <c r="O161" s="126"/>
      <c r="P161" s="126"/>
      <c r="Q161" s="126"/>
      <c r="R161" s="126"/>
      <c r="S161" s="126"/>
    </row>
    <row r="162" spans="1:19" s="23" customFormat="1" ht="99.75" hidden="1" customHeight="1" x14ac:dyDescent="0.25">
      <c r="A162" s="31" t="s">
        <v>45</v>
      </c>
      <c r="B162" s="73">
        <v>904</v>
      </c>
      <c r="C162" s="73" t="s">
        <v>59</v>
      </c>
      <c r="D162" s="138">
        <f>1634-1634</f>
        <v>0</v>
      </c>
      <c r="E162" s="138"/>
      <c r="F162" s="138"/>
      <c r="G162" s="138"/>
      <c r="H162" s="138"/>
      <c r="I162" s="138"/>
      <c r="J162" s="126"/>
      <c r="K162" s="126"/>
      <c r="L162" s="126"/>
      <c r="M162" s="126"/>
      <c r="N162" s="126"/>
      <c r="O162" s="126"/>
      <c r="P162" s="126"/>
      <c r="Q162" s="126"/>
      <c r="R162" s="126"/>
      <c r="S162" s="126"/>
    </row>
    <row r="163" spans="1:19" s="23" customFormat="1" ht="99.75" customHeight="1" x14ac:dyDescent="0.25">
      <c r="A163" s="31" t="s">
        <v>138</v>
      </c>
      <c r="B163" s="73"/>
      <c r="C163" s="73"/>
      <c r="D163" s="138"/>
      <c r="E163" s="138"/>
      <c r="F163" s="138">
        <v>57696.1</v>
      </c>
      <c r="G163" s="138"/>
      <c r="H163" s="138"/>
      <c r="I163" s="138"/>
      <c r="J163" s="126"/>
      <c r="K163" s="126"/>
      <c r="L163" s="126"/>
      <c r="M163" s="126"/>
      <c r="N163" s="126"/>
      <c r="O163" s="126"/>
      <c r="P163" s="126"/>
      <c r="Q163" s="126"/>
      <c r="R163" s="126"/>
      <c r="S163" s="126"/>
    </row>
    <row r="164" spans="1:19" s="23" customFormat="1" ht="99.75" customHeight="1" x14ac:dyDescent="0.25">
      <c r="A164" s="31" t="s">
        <v>127</v>
      </c>
      <c r="B164" s="73"/>
      <c r="C164" s="73"/>
      <c r="D164" s="138">
        <v>3826.1</v>
      </c>
      <c r="E164" s="138"/>
      <c r="F164" s="138"/>
      <c r="G164" s="138"/>
      <c r="H164" s="138"/>
      <c r="I164" s="138"/>
      <c r="J164" s="126"/>
      <c r="K164" s="126"/>
      <c r="L164" s="126"/>
      <c r="M164" s="126"/>
      <c r="N164" s="126"/>
      <c r="O164" s="126"/>
      <c r="P164" s="126"/>
      <c r="Q164" s="126"/>
      <c r="R164" s="126"/>
      <c r="S164" s="126"/>
    </row>
    <row r="165" spans="1:19" s="23" customFormat="1" ht="99.75" customHeight="1" x14ac:dyDescent="0.25">
      <c r="A165" s="186" t="s">
        <v>133</v>
      </c>
      <c r="B165" s="187">
        <v>2000</v>
      </c>
      <c r="C165" s="186" t="s">
        <v>133</v>
      </c>
      <c r="D165" s="187">
        <v>2000</v>
      </c>
      <c r="E165" s="138"/>
      <c r="F165" s="138"/>
      <c r="G165" s="138"/>
      <c r="H165" s="138"/>
      <c r="I165" s="138"/>
      <c r="J165" s="126"/>
      <c r="K165" s="126"/>
      <c r="L165" s="126"/>
      <c r="M165" s="126"/>
      <c r="N165" s="126"/>
      <c r="O165" s="126"/>
      <c r="P165" s="126"/>
      <c r="Q165" s="126"/>
      <c r="R165" s="126"/>
      <c r="S165" s="126"/>
    </row>
    <row r="166" spans="1:19" s="16" customFormat="1" ht="13.5" thickBot="1" x14ac:dyDescent="0.3">
      <c r="A166" s="47"/>
      <c r="B166" s="68"/>
      <c r="C166" s="68"/>
      <c r="D166" s="139"/>
      <c r="E166" s="139"/>
      <c r="F166" s="139"/>
      <c r="G166" s="139"/>
      <c r="H166" s="139"/>
      <c r="I166" s="139"/>
      <c r="J166" s="83"/>
      <c r="K166" s="83"/>
      <c r="L166" s="83"/>
      <c r="M166" s="83"/>
      <c r="N166" s="83"/>
      <c r="O166" s="83"/>
      <c r="P166" s="83"/>
      <c r="Q166" s="83"/>
      <c r="R166" s="83"/>
      <c r="S166" s="83"/>
    </row>
    <row r="167" spans="1:19" s="16" customFormat="1" ht="21.75" customHeight="1" thickBot="1" x14ac:dyDescent="0.3">
      <c r="A167" s="48"/>
      <c r="B167" s="65"/>
      <c r="C167" s="65"/>
      <c r="D167" s="140"/>
      <c r="E167" s="140"/>
      <c r="F167" s="140"/>
      <c r="G167" s="140"/>
      <c r="H167" s="140"/>
      <c r="I167" s="140"/>
      <c r="J167" s="83"/>
      <c r="K167" s="83"/>
      <c r="L167" s="83"/>
      <c r="M167" s="83"/>
      <c r="N167" s="83"/>
      <c r="O167" s="83"/>
      <c r="P167" s="83"/>
      <c r="Q167" s="83"/>
      <c r="R167" s="83"/>
      <c r="S167" s="83"/>
    </row>
    <row r="168" spans="1:19" s="14" customFormat="1" ht="21" hidden="1" customHeight="1" x14ac:dyDescent="0.25">
      <c r="A168" s="42" t="s">
        <v>34</v>
      </c>
      <c r="B168" s="66"/>
      <c r="C168" s="66"/>
      <c r="D168" s="136">
        <f t="shared" ref="D168:I168" si="41">SUM(D169:D170)</f>
        <v>0</v>
      </c>
      <c r="E168" s="136">
        <f t="shared" si="41"/>
        <v>0</v>
      </c>
      <c r="F168" s="136">
        <f t="shared" si="41"/>
        <v>0</v>
      </c>
      <c r="G168" s="136">
        <f t="shared" si="41"/>
        <v>0</v>
      </c>
      <c r="H168" s="136">
        <f t="shared" si="41"/>
        <v>0</v>
      </c>
      <c r="I168" s="136">
        <f t="shared" si="41"/>
        <v>0</v>
      </c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</row>
    <row r="169" spans="1:19" s="23" customFormat="1" ht="13.5" hidden="1" thickBot="1" x14ac:dyDescent="0.3">
      <c r="A169" s="43"/>
      <c r="B169" s="73"/>
      <c r="C169" s="73"/>
      <c r="D169" s="138"/>
      <c r="E169" s="138"/>
      <c r="F169" s="138"/>
      <c r="G169" s="138"/>
      <c r="H169" s="138"/>
      <c r="I169" s="138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</row>
    <row r="170" spans="1:19" s="18" customFormat="1" ht="13.5" hidden="1" thickBot="1" x14ac:dyDescent="0.3">
      <c r="A170" s="44"/>
      <c r="B170" s="77"/>
      <c r="C170" s="77"/>
      <c r="D170" s="176"/>
      <c r="E170" s="176"/>
      <c r="F170" s="176"/>
      <c r="G170" s="176"/>
      <c r="H170" s="176"/>
      <c r="I170" s="176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</row>
    <row r="171" spans="1:19" s="18" customFormat="1" ht="13.5" hidden="1" thickBot="1" x14ac:dyDescent="0.3">
      <c r="A171" s="46"/>
      <c r="B171" s="78"/>
      <c r="C171" s="78"/>
      <c r="D171" s="177"/>
      <c r="E171" s="177"/>
      <c r="F171" s="177"/>
      <c r="G171" s="177"/>
      <c r="H171" s="177"/>
      <c r="I171" s="177"/>
      <c r="J171" s="125"/>
      <c r="K171" s="125"/>
      <c r="L171" s="125"/>
      <c r="M171" s="125"/>
      <c r="N171" s="125"/>
      <c r="O171" s="125"/>
      <c r="P171" s="125"/>
      <c r="Q171" s="125"/>
      <c r="R171" s="125"/>
      <c r="S171" s="125"/>
    </row>
    <row r="172" spans="1:19" s="14" customFormat="1" ht="21" hidden="1" customHeight="1" x14ac:dyDescent="0.25">
      <c r="A172" s="42" t="s">
        <v>35</v>
      </c>
      <c r="B172" s="66"/>
      <c r="C172" s="66"/>
      <c r="D172" s="136">
        <f t="shared" ref="D172:I172" si="42">SUM(D173:D175)</f>
        <v>0</v>
      </c>
      <c r="E172" s="136">
        <f t="shared" si="42"/>
        <v>0</v>
      </c>
      <c r="F172" s="136">
        <f t="shared" si="42"/>
        <v>0</v>
      </c>
      <c r="G172" s="136">
        <f t="shared" si="42"/>
        <v>0</v>
      </c>
      <c r="H172" s="136">
        <f t="shared" si="42"/>
        <v>0</v>
      </c>
      <c r="I172" s="136">
        <f t="shared" si="42"/>
        <v>0</v>
      </c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</row>
    <row r="173" spans="1:19" s="23" customFormat="1" ht="69" hidden="1" customHeight="1" x14ac:dyDescent="0.25">
      <c r="A173" s="31"/>
      <c r="B173" s="73">
        <v>904</v>
      </c>
      <c r="C173" s="73" t="s">
        <v>59</v>
      </c>
      <c r="D173" s="138"/>
      <c r="E173" s="138"/>
      <c r="F173" s="138"/>
      <c r="G173" s="138"/>
      <c r="H173" s="138"/>
      <c r="I173" s="138"/>
      <c r="J173" s="126"/>
      <c r="K173" s="126"/>
      <c r="L173" s="126"/>
      <c r="M173" s="126"/>
      <c r="N173" s="126"/>
      <c r="O173" s="126"/>
      <c r="P173" s="126"/>
      <c r="Q173" s="126"/>
      <c r="R173" s="126"/>
      <c r="S173" s="126"/>
    </row>
    <row r="174" spans="1:19" s="23" customFormat="1" ht="69" hidden="1" customHeight="1" x14ac:dyDescent="0.25">
      <c r="A174" s="31"/>
      <c r="B174" s="73"/>
      <c r="C174" s="73"/>
      <c r="D174" s="138"/>
      <c r="E174" s="138"/>
      <c r="F174" s="138"/>
      <c r="G174" s="138"/>
      <c r="H174" s="138"/>
      <c r="I174" s="138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</row>
    <row r="175" spans="1:19" s="18" customFormat="1" ht="14.25" hidden="1" customHeight="1" thickBot="1" x14ac:dyDescent="0.3">
      <c r="A175" s="44"/>
      <c r="B175" s="77"/>
      <c r="C175" s="77"/>
      <c r="D175" s="176"/>
      <c r="E175" s="176"/>
      <c r="F175" s="176"/>
      <c r="G175" s="176"/>
      <c r="H175" s="176"/>
      <c r="I175" s="176"/>
      <c r="J175" s="125"/>
      <c r="K175" s="125"/>
      <c r="L175" s="125"/>
      <c r="M175" s="125"/>
      <c r="N175" s="125"/>
      <c r="O175" s="125"/>
      <c r="P175" s="125"/>
      <c r="Q175" s="125"/>
      <c r="R175" s="125"/>
      <c r="S175" s="125"/>
    </row>
    <row r="176" spans="1:19" s="16" customFormat="1" ht="15.75" hidden="1" customHeight="1" thickBot="1" x14ac:dyDescent="0.3">
      <c r="A176" s="49"/>
      <c r="B176" s="65"/>
      <c r="C176" s="65"/>
      <c r="D176" s="179"/>
      <c r="E176" s="179"/>
      <c r="F176" s="179"/>
      <c r="G176" s="179"/>
      <c r="H176" s="179"/>
      <c r="I176" s="179"/>
      <c r="J176" s="83"/>
      <c r="K176" s="83"/>
      <c r="L176" s="83"/>
      <c r="M176" s="83"/>
      <c r="N176" s="83"/>
      <c r="O176" s="83"/>
      <c r="P176" s="83"/>
      <c r="Q176" s="83"/>
      <c r="R176" s="83"/>
      <c r="S176" s="83"/>
    </row>
    <row r="177" spans="1:19" s="14" customFormat="1" ht="21" customHeight="1" x14ac:dyDescent="0.25">
      <c r="A177" s="42" t="s">
        <v>36</v>
      </c>
      <c r="B177" s="66"/>
      <c r="C177" s="66"/>
      <c r="D177" s="136">
        <f t="shared" ref="D177:I177" si="43">SUM(D178:D179)</f>
        <v>3826.1</v>
      </c>
      <c r="E177" s="136">
        <f t="shared" si="43"/>
        <v>0</v>
      </c>
      <c r="F177" s="136">
        <f t="shared" si="43"/>
        <v>0</v>
      </c>
      <c r="G177" s="136">
        <f t="shared" si="43"/>
        <v>0</v>
      </c>
      <c r="H177" s="136">
        <f t="shared" si="43"/>
        <v>0</v>
      </c>
      <c r="I177" s="136">
        <f t="shared" si="43"/>
        <v>0</v>
      </c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</row>
    <row r="178" spans="1:19" s="18" customFormat="1" ht="77.25" customHeight="1" x14ac:dyDescent="0.25">
      <c r="A178" s="20" t="s">
        <v>127</v>
      </c>
      <c r="B178" s="70"/>
      <c r="C178" s="70"/>
      <c r="D178" s="157">
        <v>3826.1</v>
      </c>
      <c r="E178" s="157"/>
      <c r="F178" s="157"/>
      <c r="G178" s="157"/>
      <c r="H178" s="157"/>
      <c r="I178" s="157"/>
      <c r="J178" s="125"/>
      <c r="K178" s="125"/>
      <c r="L178" s="125"/>
      <c r="M178" s="125"/>
      <c r="N178" s="125"/>
      <c r="O178" s="125"/>
      <c r="P178" s="125"/>
      <c r="Q178" s="125"/>
      <c r="R178" s="125"/>
      <c r="S178" s="125"/>
    </row>
    <row r="179" spans="1:19" s="16" customFormat="1" ht="13.5" thickBot="1" x14ac:dyDescent="0.3">
      <c r="A179" s="47"/>
      <c r="B179" s="68"/>
      <c r="C179" s="68"/>
      <c r="D179" s="139"/>
      <c r="E179" s="139"/>
      <c r="F179" s="139"/>
      <c r="G179" s="139"/>
      <c r="H179" s="139"/>
      <c r="I179" s="139"/>
      <c r="J179" s="83"/>
      <c r="K179" s="83"/>
      <c r="L179" s="83"/>
      <c r="M179" s="83"/>
      <c r="N179" s="83"/>
      <c r="O179" s="83"/>
      <c r="P179" s="83"/>
      <c r="Q179" s="83"/>
      <c r="R179" s="83"/>
      <c r="S179" s="83"/>
    </row>
    <row r="180" spans="1:19" s="16" customFormat="1" ht="13.5" thickBot="1" x14ac:dyDescent="0.3">
      <c r="A180" s="48"/>
      <c r="B180" s="65"/>
      <c r="C180" s="65"/>
      <c r="D180" s="140"/>
      <c r="E180" s="140"/>
      <c r="F180" s="140"/>
      <c r="G180" s="140"/>
      <c r="H180" s="140"/>
      <c r="I180" s="140"/>
      <c r="J180" s="83"/>
      <c r="K180" s="83"/>
      <c r="L180" s="83"/>
      <c r="M180" s="83"/>
      <c r="N180" s="83"/>
      <c r="O180" s="83"/>
      <c r="P180" s="83"/>
      <c r="Q180" s="83"/>
      <c r="R180" s="83"/>
      <c r="S180" s="83"/>
    </row>
    <row r="181" spans="1:19" s="14" customFormat="1" ht="21" customHeight="1" x14ac:dyDescent="0.25">
      <c r="A181" s="42" t="s">
        <v>37</v>
      </c>
      <c r="B181" s="66"/>
      <c r="C181" s="66"/>
      <c r="D181" s="136">
        <f t="shared" ref="D181:I181" si="44">SUM(D182:D185)</f>
        <v>1656.6</v>
      </c>
      <c r="E181" s="136">
        <f t="shared" si="44"/>
        <v>0</v>
      </c>
      <c r="F181" s="136">
        <f t="shared" si="44"/>
        <v>29951.4</v>
      </c>
      <c r="G181" s="136">
        <f t="shared" si="44"/>
        <v>0</v>
      </c>
      <c r="H181" s="136">
        <f t="shared" si="44"/>
        <v>0</v>
      </c>
      <c r="I181" s="136">
        <f t="shared" si="44"/>
        <v>0</v>
      </c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</row>
    <row r="182" spans="1:19" s="23" customFormat="1" ht="148.5" hidden="1" customHeight="1" x14ac:dyDescent="0.25">
      <c r="A182" s="43" t="s">
        <v>38</v>
      </c>
      <c r="B182" s="73"/>
      <c r="C182" s="73"/>
      <c r="D182" s="138">
        <v>0</v>
      </c>
      <c r="E182" s="138"/>
      <c r="F182" s="138"/>
      <c r="G182" s="138"/>
      <c r="H182" s="138"/>
      <c r="I182" s="138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</row>
    <row r="183" spans="1:19" s="23" customFormat="1" ht="78" customHeight="1" x14ac:dyDescent="0.25">
      <c r="A183" s="43" t="s">
        <v>66</v>
      </c>
      <c r="B183" s="73">
        <v>904</v>
      </c>
      <c r="C183" s="73" t="s">
        <v>59</v>
      </c>
      <c r="D183" s="138"/>
      <c r="E183" s="138"/>
      <c r="F183" s="138">
        <v>29951.4</v>
      </c>
      <c r="G183" s="138"/>
      <c r="H183" s="138"/>
      <c r="I183" s="138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</row>
    <row r="184" spans="1:19" s="23" customFormat="1" ht="78" customHeight="1" x14ac:dyDescent="0.25">
      <c r="A184" s="186" t="s">
        <v>135</v>
      </c>
      <c r="B184" s="187">
        <v>1656.6</v>
      </c>
      <c r="C184" s="186" t="s">
        <v>135</v>
      </c>
      <c r="D184" s="187">
        <v>1656.6</v>
      </c>
      <c r="E184" s="138"/>
      <c r="F184" s="138"/>
      <c r="G184" s="138"/>
      <c r="H184" s="138"/>
      <c r="I184" s="138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</row>
    <row r="185" spans="1:19" s="18" customFormat="1" ht="13.5" thickBot="1" x14ac:dyDescent="0.3">
      <c r="A185" s="21"/>
      <c r="B185" s="68"/>
      <c r="C185" s="68"/>
      <c r="D185" s="176"/>
      <c r="E185" s="176"/>
      <c r="F185" s="176"/>
      <c r="G185" s="176"/>
      <c r="H185" s="176"/>
      <c r="I185" s="176"/>
      <c r="J185" s="125"/>
      <c r="K185" s="125"/>
      <c r="L185" s="125"/>
      <c r="M185" s="125"/>
      <c r="N185" s="125"/>
      <c r="O185" s="125"/>
      <c r="P185" s="125"/>
      <c r="Q185" s="125"/>
      <c r="R185" s="125"/>
      <c r="S185" s="125"/>
    </row>
    <row r="186" spans="1:19" s="16" customFormat="1" ht="15.75" customHeight="1" thickBot="1" x14ac:dyDescent="0.3">
      <c r="A186" s="49"/>
      <c r="B186" s="65"/>
      <c r="C186" s="65"/>
      <c r="D186" s="179"/>
      <c r="E186" s="179"/>
      <c r="F186" s="179"/>
      <c r="G186" s="179"/>
      <c r="H186" s="179"/>
      <c r="I186" s="179"/>
      <c r="J186" s="83"/>
      <c r="K186" s="83"/>
      <c r="L186" s="83"/>
      <c r="M186" s="83"/>
      <c r="N186" s="83"/>
      <c r="O186" s="83"/>
      <c r="P186" s="83"/>
      <c r="Q186" s="83"/>
      <c r="R186" s="83"/>
      <c r="S186" s="83"/>
    </row>
    <row r="187" spans="1:19" s="14" customFormat="1" ht="21" customHeight="1" thickBot="1" x14ac:dyDescent="0.3">
      <c r="A187" s="42" t="s">
        <v>39</v>
      </c>
      <c r="B187" s="66"/>
      <c r="C187" s="66"/>
      <c r="D187" s="136">
        <f t="shared" ref="D187:I187" si="45">SUM(D188:D191)</f>
        <v>145891.70000000001</v>
      </c>
      <c r="E187" s="136">
        <f t="shared" si="45"/>
        <v>0</v>
      </c>
      <c r="F187" s="136">
        <f t="shared" si="45"/>
        <v>1499.2</v>
      </c>
      <c r="G187" s="136">
        <f t="shared" si="45"/>
        <v>0</v>
      </c>
      <c r="H187" s="136">
        <f t="shared" si="45"/>
        <v>1499.2</v>
      </c>
      <c r="I187" s="136">
        <f t="shared" si="45"/>
        <v>0</v>
      </c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</row>
    <row r="188" spans="1:19" s="23" customFormat="1" ht="120" hidden="1" customHeight="1" thickBot="1" x14ac:dyDescent="0.3">
      <c r="A188" s="60" t="s">
        <v>40</v>
      </c>
      <c r="B188" s="79"/>
      <c r="C188" s="79"/>
      <c r="D188" s="138">
        <v>0</v>
      </c>
      <c r="E188" s="138"/>
      <c r="F188" s="138"/>
      <c r="G188" s="138"/>
      <c r="H188" s="138"/>
      <c r="I188" s="138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</row>
    <row r="189" spans="1:19" s="23" customFormat="1" ht="74.25" customHeight="1" thickBot="1" x14ac:dyDescent="0.3">
      <c r="A189" s="51" t="s">
        <v>63</v>
      </c>
      <c r="B189" s="79"/>
      <c r="C189" s="79"/>
      <c r="D189" s="138">
        <f>1499.2-602.6</f>
        <v>896.6</v>
      </c>
      <c r="E189" s="138"/>
      <c r="F189" s="138">
        <v>1499.2</v>
      </c>
      <c r="G189" s="138"/>
      <c r="H189" s="138">
        <v>1499.2</v>
      </c>
      <c r="I189" s="138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</row>
    <row r="190" spans="1:19" s="23" customFormat="1" ht="113.25" customHeight="1" thickBot="1" x14ac:dyDescent="0.3">
      <c r="A190" s="60" t="s">
        <v>120</v>
      </c>
      <c r="B190" s="79"/>
      <c r="C190" s="79"/>
      <c r="D190" s="138">
        <f>150864.9-5869.8</f>
        <v>144995.1</v>
      </c>
      <c r="E190" s="138"/>
      <c r="F190" s="138"/>
      <c r="G190" s="138"/>
      <c r="H190" s="183"/>
      <c r="I190" s="138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</row>
    <row r="191" spans="1:19" s="16" customFormat="1" ht="13.5" thickBot="1" x14ac:dyDescent="0.3">
      <c r="A191" s="52"/>
      <c r="B191" s="80"/>
      <c r="C191" s="80"/>
      <c r="D191" s="139"/>
      <c r="E191" s="139"/>
      <c r="F191" s="139"/>
      <c r="G191" s="139"/>
      <c r="H191" s="139"/>
      <c r="I191" s="139"/>
      <c r="J191" s="83"/>
      <c r="K191" s="83"/>
      <c r="L191" s="83"/>
      <c r="M191" s="83"/>
      <c r="N191" s="83"/>
      <c r="O191" s="83"/>
      <c r="P191" s="83"/>
      <c r="Q191" s="83"/>
      <c r="R191" s="83"/>
      <c r="S191" s="83"/>
    </row>
    <row r="192" spans="1:19" s="16" customFormat="1" ht="13.5" thickBot="1" x14ac:dyDescent="0.3">
      <c r="A192" s="23"/>
      <c r="B192" s="65"/>
      <c r="C192" s="65"/>
      <c r="D192" s="140"/>
      <c r="E192" s="140"/>
      <c r="F192" s="140"/>
      <c r="G192" s="140"/>
      <c r="H192" s="140"/>
      <c r="I192" s="140"/>
      <c r="J192" s="83"/>
      <c r="K192" s="83"/>
      <c r="L192" s="83"/>
      <c r="M192" s="83"/>
      <c r="N192" s="83"/>
      <c r="O192" s="83"/>
      <c r="P192" s="83"/>
      <c r="Q192" s="83"/>
      <c r="R192" s="83"/>
      <c r="S192" s="83"/>
    </row>
    <row r="193" spans="1:19" s="37" customFormat="1" ht="21" customHeight="1" thickBot="1" x14ac:dyDescent="0.3">
      <c r="A193" s="34" t="s">
        <v>41</v>
      </c>
      <c r="B193" s="75"/>
      <c r="C193" s="75"/>
      <c r="D193" s="165">
        <f>D116+D123+D133+D138+D153+D160+D168+D172+D177+D181+D187+D149+D129</f>
        <v>201836.7</v>
      </c>
      <c r="E193" s="165">
        <f>E116+E123+E133+E138+E153+E160+E168+E172+E177+E181+E187+E129</f>
        <v>371.6</v>
      </c>
      <c r="F193" s="165">
        <f>F116+F123+F133+F138+F153+F160+F168+F172+F177+F181+F187+F149+F129</f>
        <v>89238.2</v>
      </c>
      <c r="G193" s="165">
        <f>G116+G123+G133+G138+G153+G160+G168+G172+G177+G181+G187</f>
        <v>0</v>
      </c>
      <c r="H193" s="165">
        <f>H116+H123+H133+H138+H153+H160+H168+H172+H177+H181+H187+H149</f>
        <v>47914</v>
      </c>
      <c r="I193" s="165">
        <f>I116+I123+I133+I138+I153+I160+I168+I172+I177+I181+I187</f>
        <v>0</v>
      </c>
      <c r="J193" s="127"/>
      <c r="K193" s="127"/>
      <c r="L193" s="127"/>
      <c r="M193" s="127"/>
      <c r="N193" s="127"/>
      <c r="O193" s="127"/>
      <c r="P193" s="127"/>
      <c r="Q193" s="127"/>
      <c r="R193" s="127"/>
      <c r="S193" s="127"/>
    </row>
    <row r="194" spans="1:19" s="16" customFormat="1" ht="13.5" thickBot="1" x14ac:dyDescent="0.3">
      <c r="A194" s="23"/>
      <c r="B194" s="65"/>
      <c r="C194" s="65"/>
      <c r="D194" s="140"/>
      <c r="E194" s="140"/>
      <c r="F194" s="140"/>
      <c r="G194" s="140"/>
      <c r="H194" s="140"/>
      <c r="I194" s="140"/>
      <c r="J194" s="83"/>
      <c r="K194" s="83"/>
      <c r="L194" s="83"/>
      <c r="M194" s="83"/>
      <c r="N194" s="83"/>
      <c r="O194" s="83"/>
      <c r="P194" s="83"/>
      <c r="Q194" s="83"/>
      <c r="R194" s="83"/>
      <c r="S194" s="83"/>
    </row>
    <row r="195" spans="1:19" s="55" customFormat="1" ht="21" customHeight="1" thickBot="1" x14ac:dyDescent="0.3">
      <c r="A195" s="53" t="s">
        <v>42</v>
      </c>
      <c r="B195" s="81"/>
      <c r="C195" s="81"/>
      <c r="D195" s="181">
        <f t="shared" ref="D195:I195" si="46">D114+D193</f>
        <v>778844.3</v>
      </c>
      <c r="E195" s="181">
        <f t="shared" si="46"/>
        <v>33303.4</v>
      </c>
      <c r="F195" s="181">
        <f t="shared" si="46"/>
        <v>430057.7</v>
      </c>
      <c r="G195" s="181">
        <f t="shared" si="46"/>
        <v>22414</v>
      </c>
      <c r="H195" s="181">
        <f t="shared" si="46"/>
        <v>456407.7</v>
      </c>
      <c r="I195" s="181">
        <f t="shared" si="46"/>
        <v>22525.1</v>
      </c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</row>
    <row r="196" spans="1:19" s="56" customFormat="1" x14ac:dyDescent="0.25">
      <c r="B196" s="64"/>
      <c r="C196" s="64"/>
      <c r="D196" s="140"/>
      <c r="E196" s="140"/>
      <c r="F196" s="140"/>
      <c r="G196" s="140"/>
      <c r="H196" s="140"/>
      <c r="I196" s="140"/>
      <c r="J196" s="83"/>
      <c r="K196" s="83"/>
      <c r="L196" s="83"/>
      <c r="M196" s="83"/>
      <c r="N196" s="83"/>
      <c r="O196" s="83"/>
      <c r="P196" s="83"/>
      <c r="Q196" s="83"/>
      <c r="R196" s="83"/>
      <c r="S196" s="83"/>
    </row>
    <row r="197" spans="1:19" s="56" customFormat="1" x14ac:dyDescent="0.25">
      <c r="B197" s="64"/>
      <c r="C197" s="64"/>
      <c r="D197" s="140"/>
      <c r="E197" s="140"/>
      <c r="F197" s="140"/>
      <c r="G197" s="140"/>
      <c r="H197" s="140"/>
      <c r="I197" s="140"/>
      <c r="J197" s="83"/>
      <c r="K197" s="83"/>
      <c r="L197" s="83"/>
      <c r="M197" s="83"/>
      <c r="N197" s="83"/>
      <c r="O197" s="83"/>
      <c r="P197" s="83"/>
      <c r="Q197" s="83"/>
      <c r="R197" s="83"/>
      <c r="S197" s="83"/>
    </row>
    <row r="198" spans="1:19" s="56" customFormat="1" x14ac:dyDescent="0.25">
      <c r="B198" s="64"/>
      <c r="C198" s="64"/>
      <c r="D198" s="140"/>
      <c r="E198" s="140"/>
      <c r="F198" s="140"/>
      <c r="G198" s="140"/>
      <c r="H198" s="140"/>
      <c r="I198" s="140"/>
      <c r="J198" s="83"/>
      <c r="K198" s="83"/>
      <c r="L198" s="83"/>
      <c r="M198" s="83"/>
      <c r="N198" s="83"/>
      <c r="O198" s="83"/>
      <c r="P198" s="83"/>
      <c r="Q198" s="83"/>
      <c r="R198" s="83"/>
      <c r="S198" s="83"/>
    </row>
    <row r="199" spans="1:19" s="59" customFormat="1" ht="33" customHeight="1" x14ac:dyDescent="0.25">
      <c r="A199" s="57" t="s">
        <v>43</v>
      </c>
      <c r="B199" s="82"/>
      <c r="C199" s="82"/>
      <c r="D199" s="182"/>
      <c r="E199" s="227" t="s">
        <v>44</v>
      </c>
      <c r="F199" s="227"/>
      <c r="G199" s="227"/>
      <c r="H199" s="227"/>
      <c r="I199" s="227"/>
      <c r="J199" s="129"/>
      <c r="K199" s="129"/>
      <c r="L199" s="129"/>
      <c r="M199" s="129"/>
      <c r="N199" s="129"/>
      <c r="O199" s="129"/>
      <c r="P199" s="129"/>
      <c r="Q199" s="129"/>
      <c r="R199" s="129"/>
      <c r="S199" s="129"/>
    </row>
    <row r="200" spans="1:19" s="83" customFormat="1" x14ac:dyDescent="0.25">
      <c r="D200" s="140"/>
      <c r="E200" s="140"/>
      <c r="F200" s="140"/>
      <c r="G200" s="140"/>
      <c r="H200" s="140"/>
      <c r="I200" s="140"/>
    </row>
    <row r="201" spans="1:19" s="83" customFormat="1" x14ac:dyDescent="0.25">
      <c r="D201" s="140"/>
      <c r="E201" s="140"/>
      <c r="F201" s="140"/>
      <c r="G201" s="140"/>
      <c r="H201" s="140"/>
      <c r="I201" s="140"/>
    </row>
    <row r="202" spans="1:19" s="83" customFormat="1" x14ac:dyDescent="0.25">
      <c r="D202" s="140"/>
      <c r="E202" s="140"/>
      <c r="F202" s="140"/>
      <c r="G202" s="140"/>
      <c r="H202" s="140"/>
      <c r="I202" s="140"/>
    </row>
    <row r="203" spans="1:19" s="83" customFormat="1" hidden="1" x14ac:dyDescent="0.25">
      <c r="D203" s="140"/>
      <c r="E203" s="140"/>
      <c r="F203" s="140"/>
      <c r="G203" s="140"/>
      <c r="H203" s="140"/>
      <c r="I203" s="140"/>
    </row>
    <row r="204" spans="1:19" s="83" customFormat="1" hidden="1" x14ac:dyDescent="0.25">
      <c r="D204" s="140">
        <f>714466.7</f>
        <v>714466.7</v>
      </c>
      <c r="E204" s="140"/>
      <c r="F204" s="140">
        <v>430057.7</v>
      </c>
      <c r="G204" s="140"/>
      <c r="H204" s="140">
        <v>456407.7</v>
      </c>
      <c r="I204" s="140"/>
    </row>
    <row r="205" spans="1:19" s="83" customFormat="1" hidden="1" x14ac:dyDescent="0.25">
      <c r="D205" s="140">
        <f>D204-D195</f>
        <v>-64377.600000000093</v>
      </c>
      <c r="E205" s="140"/>
      <c r="F205" s="140">
        <f>F204-F195</f>
        <v>0</v>
      </c>
      <c r="G205" s="140"/>
      <c r="H205" s="140">
        <f>H204-H195</f>
        <v>0</v>
      </c>
      <c r="I205" s="140"/>
    </row>
    <row r="206" spans="1:19" s="83" customFormat="1" hidden="1" x14ac:dyDescent="0.25">
      <c r="D206" s="140"/>
      <c r="E206" s="140"/>
      <c r="F206" s="140"/>
      <c r="G206" s="140"/>
      <c r="H206" s="140"/>
      <c r="I206" s="140"/>
    </row>
    <row r="207" spans="1:19" s="83" customFormat="1" hidden="1" x14ac:dyDescent="0.25">
      <c r="D207" s="140"/>
      <c r="E207" s="140"/>
      <c r="F207" s="140"/>
      <c r="G207" s="140"/>
      <c r="H207" s="140"/>
      <c r="I207" s="140"/>
    </row>
    <row r="208" spans="1:19" s="83" customFormat="1" hidden="1" x14ac:dyDescent="0.25">
      <c r="D208" s="140"/>
      <c r="E208" s="140"/>
      <c r="F208" s="140"/>
      <c r="G208" s="140"/>
      <c r="H208" s="140"/>
      <c r="I208" s="140"/>
    </row>
    <row r="209" spans="4:9" s="83" customFormat="1" hidden="1" x14ac:dyDescent="0.25">
      <c r="D209" s="140"/>
      <c r="E209" s="140"/>
      <c r="F209" s="140"/>
      <c r="G209" s="140"/>
      <c r="H209" s="140"/>
      <c r="I209" s="140"/>
    </row>
    <row r="210" spans="4:9" s="83" customFormat="1" x14ac:dyDescent="0.25">
      <c r="D210" s="140"/>
      <c r="E210" s="140"/>
      <c r="F210" s="140"/>
      <c r="G210" s="140"/>
      <c r="H210" s="140"/>
      <c r="I210" s="140"/>
    </row>
    <row r="211" spans="4:9" s="83" customFormat="1" x14ac:dyDescent="0.25">
      <c r="D211" s="140"/>
      <c r="E211" s="140"/>
      <c r="F211" s="140"/>
      <c r="G211" s="140"/>
      <c r="H211" s="140"/>
      <c r="I211" s="140"/>
    </row>
    <row r="212" spans="4:9" s="83" customFormat="1" x14ac:dyDescent="0.25">
      <c r="D212" s="140"/>
      <c r="E212" s="140"/>
      <c r="F212" s="140"/>
      <c r="G212" s="140"/>
      <c r="H212" s="140"/>
      <c r="I212" s="140"/>
    </row>
    <row r="213" spans="4:9" s="83" customFormat="1" x14ac:dyDescent="0.25">
      <c r="D213" s="140"/>
      <c r="E213" s="140"/>
      <c r="F213" s="140"/>
      <c r="G213" s="140"/>
      <c r="H213" s="140"/>
      <c r="I213" s="140"/>
    </row>
    <row r="214" spans="4:9" s="83" customFormat="1" x14ac:dyDescent="0.25">
      <c r="D214" s="140"/>
      <c r="E214" s="140"/>
      <c r="F214" s="140"/>
      <c r="G214" s="140"/>
      <c r="H214" s="140"/>
      <c r="I214" s="140"/>
    </row>
    <row r="215" spans="4:9" s="83" customFormat="1" x14ac:dyDescent="0.25">
      <c r="D215" s="140"/>
      <c r="E215" s="140"/>
      <c r="F215" s="140"/>
      <c r="G215" s="140"/>
      <c r="H215" s="140"/>
      <c r="I215" s="140"/>
    </row>
    <row r="216" spans="4:9" s="83" customFormat="1" x14ac:dyDescent="0.25">
      <c r="D216" s="140"/>
      <c r="E216" s="140"/>
      <c r="F216" s="140"/>
      <c r="G216" s="140"/>
      <c r="H216" s="140"/>
      <c r="I216" s="140"/>
    </row>
    <row r="217" spans="4:9" s="83" customFormat="1" x14ac:dyDescent="0.25">
      <c r="D217" s="140"/>
      <c r="E217" s="140"/>
      <c r="F217" s="140"/>
      <c r="G217" s="140"/>
      <c r="H217" s="140"/>
      <c r="I217" s="140"/>
    </row>
    <row r="218" spans="4:9" s="83" customFormat="1" x14ac:dyDescent="0.25">
      <c r="D218" s="140"/>
      <c r="E218" s="140"/>
      <c r="F218" s="140"/>
      <c r="G218" s="140"/>
      <c r="H218" s="140"/>
      <c r="I218" s="140"/>
    </row>
    <row r="219" spans="4:9" s="83" customFormat="1" x14ac:dyDescent="0.25">
      <c r="D219" s="140"/>
      <c r="E219" s="140"/>
      <c r="F219" s="140"/>
      <c r="G219" s="140"/>
      <c r="H219" s="140"/>
      <c r="I219" s="140"/>
    </row>
    <row r="220" spans="4:9" s="83" customFormat="1" x14ac:dyDescent="0.25">
      <c r="D220" s="140"/>
      <c r="E220" s="140"/>
      <c r="F220" s="140"/>
      <c r="G220" s="140"/>
      <c r="H220" s="140"/>
      <c r="I220" s="140"/>
    </row>
    <row r="221" spans="4:9" s="83" customFormat="1" x14ac:dyDescent="0.25">
      <c r="D221" s="140"/>
      <c r="E221" s="140"/>
      <c r="F221" s="140"/>
      <c r="G221" s="140"/>
      <c r="H221" s="140"/>
      <c r="I221" s="140"/>
    </row>
    <row r="222" spans="4:9" s="83" customFormat="1" x14ac:dyDescent="0.25">
      <c r="D222" s="140"/>
      <c r="E222" s="140"/>
      <c r="F222" s="140"/>
      <c r="G222" s="140"/>
      <c r="H222" s="140"/>
      <c r="I222" s="140"/>
    </row>
    <row r="223" spans="4:9" s="83" customFormat="1" x14ac:dyDescent="0.25">
      <c r="D223" s="140"/>
      <c r="E223" s="140"/>
      <c r="F223" s="140"/>
      <c r="G223" s="140"/>
      <c r="H223" s="140"/>
      <c r="I223" s="140"/>
    </row>
    <row r="224" spans="4:9" s="83" customFormat="1" x14ac:dyDescent="0.25">
      <c r="D224" s="140"/>
      <c r="E224" s="140"/>
      <c r="F224" s="140"/>
      <c r="G224" s="140"/>
      <c r="H224" s="140"/>
      <c r="I224" s="140"/>
    </row>
    <row r="225" spans="4:9" s="83" customFormat="1" x14ac:dyDescent="0.25">
      <c r="D225" s="140"/>
      <c r="E225" s="140"/>
      <c r="F225" s="140"/>
      <c r="G225" s="140"/>
      <c r="H225" s="140"/>
      <c r="I225" s="140"/>
    </row>
    <row r="226" spans="4:9" s="83" customFormat="1" x14ac:dyDescent="0.25">
      <c r="D226" s="140"/>
      <c r="E226" s="140"/>
      <c r="F226" s="140"/>
      <c r="G226" s="140"/>
      <c r="H226" s="140"/>
      <c r="I226" s="140"/>
    </row>
    <row r="227" spans="4:9" s="83" customFormat="1" x14ac:dyDescent="0.25">
      <c r="D227" s="140"/>
      <c r="E227" s="140"/>
      <c r="F227" s="140"/>
      <c r="G227" s="140"/>
      <c r="H227" s="140"/>
      <c r="I227" s="140"/>
    </row>
    <row r="228" spans="4:9" s="83" customFormat="1" x14ac:dyDescent="0.25">
      <c r="D228" s="140"/>
      <c r="E228" s="140"/>
      <c r="F228" s="140"/>
      <c r="G228" s="140"/>
      <c r="H228" s="140"/>
      <c r="I228" s="140"/>
    </row>
    <row r="229" spans="4:9" s="83" customFormat="1" x14ac:dyDescent="0.25">
      <c r="D229" s="140"/>
      <c r="E229" s="140"/>
      <c r="F229" s="140"/>
      <c r="G229" s="140"/>
      <c r="H229" s="140"/>
      <c r="I229" s="140"/>
    </row>
    <row r="230" spans="4:9" s="83" customFormat="1" x14ac:dyDescent="0.25">
      <c r="D230" s="140"/>
      <c r="E230" s="140"/>
      <c r="F230" s="140"/>
      <c r="G230" s="140"/>
      <c r="H230" s="140"/>
      <c r="I230" s="140"/>
    </row>
    <row r="231" spans="4:9" s="83" customFormat="1" x14ac:dyDescent="0.25">
      <c r="D231" s="140"/>
      <c r="E231" s="140"/>
      <c r="F231" s="140"/>
      <c r="G231" s="140"/>
      <c r="H231" s="140"/>
      <c r="I231" s="140"/>
    </row>
    <row r="232" spans="4:9" s="83" customFormat="1" x14ac:dyDescent="0.25">
      <c r="D232" s="140"/>
      <c r="E232" s="140"/>
      <c r="F232" s="140"/>
      <c r="G232" s="140"/>
      <c r="H232" s="140"/>
      <c r="I232" s="140"/>
    </row>
    <row r="233" spans="4:9" s="83" customFormat="1" x14ac:dyDescent="0.25">
      <c r="D233" s="140"/>
      <c r="E233" s="140"/>
      <c r="F233" s="140"/>
      <c r="G233" s="140"/>
      <c r="H233" s="140"/>
      <c r="I233" s="140"/>
    </row>
    <row r="234" spans="4:9" s="83" customFormat="1" x14ac:dyDescent="0.25">
      <c r="D234" s="140"/>
      <c r="E234" s="140"/>
      <c r="F234" s="140"/>
      <c r="G234" s="140"/>
      <c r="H234" s="140"/>
      <c r="I234" s="140"/>
    </row>
    <row r="235" spans="4:9" s="83" customFormat="1" x14ac:dyDescent="0.25">
      <c r="D235" s="140"/>
      <c r="E235" s="140"/>
      <c r="F235" s="140"/>
      <c r="G235" s="140"/>
      <c r="H235" s="140"/>
      <c r="I235" s="140"/>
    </row>
    <row r="236" spans="4:9" s="83" customFormat="1" x14ac:dyDescent="0.25">
      <c r="D236" s="140"/>
      <c r="E236" s="140"/>
      <c r="F236" s="140"/>
      <c r="G236" s="140"/>
      <c r="H236" s="140"/>
      <c r="I236" s="140"/>
    </row>
    <row r="237" spans="4:9" s="83" customFormat="1" x14ac:dyDescent="0.25">
      <c r="D237" s="140"/>
      <c r="E237" s="140"/>
      <c r="F237" s="140"/>
      <c r="G237" s="140"/>
      <c r="H237" s="140"/>
      <c r="I237" s="140"/>
    </row>
    <row r="238" spans="4:9" s="83" customFormat="1" x14ac:dyDescent="0.25">
      <c r="D238" s="140"/>
      <c r="E238" s="140"/>
      <c r="F238" s="140"/>
      <c r="G238" s="140"/>
      <c r="H238" s="140"/>
      <c r="I238" s="140"/>
    </row>
    <row r="239" spans="4:9" s="83" customFormat="1" x14ac:dyDescent="0.25">
      <c r="D239" s="140"/>
      <c r="E239" s="140"/>
      <c r="F239" s="140"/>
      <c r="G239" s="140"/>
      <c r="H239" s="140"/>
      <c r="I239" s="140"/>
    </row>
    <row r="240" spans="4:9" s="83" customFormat="1" x14ac:dyDescent="0.25">
      <c r="D240" s="140"/>
      <c r="E240" s="140"/>
      <c r="F240" s="140"/>
      <c r="G240" s="140"/>
      <c r="H240" s="140"/>
      <c r="I240" s="140"/>
    </row>
    <row r="241" spans="4:9" s="83" customFormat="1" x14ac:dyDescent="0.25">
      <c r="D241" s="140"/>
      <c r="E241" s="140"/>
      <c r="F241" s="140"/>
      <c r="G241" s="140"/>
      <c r="H241" s="140"/>
      <c r="I241" s="140"/>
    </row>
    <row r="242" spans="4:9" s="83" customFormat="1" x14ac:dyDescent="0.25">
      <c r="D242" s="140"/>
      <c r="E242" s="140"/>
      <c r="F242" s="140"/>
      <c r="G242" s="140"/>
      <c r="H242" s="140"/>
      <c r="I242" s="140"/>
    </row>
    <row r="243" spans="4:9" s="83" customFormat="1" x14ac:dyDescent="0.25">
      <c r="D243" s="140"/>
      <c r="E243" s="140"/>
      <c r="F243" s="140"/>
      <c r="G243" s="140"/>
      <c r="H243" s="140"/>
      <c r="I243" s="140"/>
    </row>
    <row r="244" spans="4:9" s="83" customFormat="1" x14ac:dyDescent="0.25">
      <c r="D244" s="140"/>
      <c r="E244" s="140"/>
      <c r="F244" s="140"/>
      <c r="G244" s="140"/>
      <c r="H244" s="140"/>
      <c r="I244" s="140"/>
    </row>
    <row r="245" spans="4:9" s="83" customFormat="1" x14ac:dyDescent="0.25">
      <c r="D245" s="140"/>
      <c r="E245" s="140"/>
      <c r="F245" s="140"/>
      <c r="G245" s="140"/>
      <c r="H245" s="140"/>
      <c r="I245" s="140"/>
    </row>
    <row r="246" spans="4:9" s="83" customFormat="1" x14ac:dyDescent="0.25">
      <c r="D246" s="140"/>
      <c r="E246" s="140"/>
      <c r="F246" s="140"/>
      <c r="G246" s="140"/>
      <c r="H246" s="140"/>
      <c r="I246" s="140"/>
    </row>
    <row r="247" spans="4:9" s="83" customFormat="1" x14ac:dyDescent="0.25">
      <c r="D247" s="140"/>
      <c r="E247" s="140"/>
      <c r="F247" s="140"/>
      <c r="G247" s="140"/>
      <c r="H247" s="140"/>
      <c r="I247" s="140"/>
    </row>
    <row r="248" spans="4:9" s="83" customFormat="1" x14ac:dyDescent="0.25">
      <c r="D248" s="140"/>
      <c r="E248" s="140"/>
      <c r="F248" s="140"/>
      <c r="G248" s="140"/>
      <c r="H248" s="140"/>
      <c r="I248" s="140"/>
    </row>
    <row r="249" spans="4:9" s="83" customFormat="1" x14ac:dyDescent="0.25">
      <c r="D249" s="140"/>
      <c r="E249" s="140"/>
      <c r="F249" s="140"/>
      <c r="G249" s="140"/>
      <c r="H249" s="140"/>
      <c r="I249" s="140"/>
    </row>
    <row r="250" spans="4:9" s="83" customFormat="1" x14ac:dyDescent="0.25">
      <c r="D250" s="140"/>
      <c r="E250" s="140"/>
      <c r="F250" s="140"/>
      <c r="G250" s="140"/>
      <c r="H250" s="140"/>
      <c r="I250" s="140"/>
    </row>
    <row r="251" spans="4:9" s="83" customFormat="1" x14ac:dyDescent="0.25">
      <c r="D251" s="140"/>
      <c r="E251" s="140"/>
      <c r="F251" s="140"/>
      <c r="G251" s="140"/>
      <c r="H251" s="140"/>
      <c r="I251" s="140"/>
    </row>
    <row r="252" spans="4:9" s="83" customFormat="1" x14ac:dyDescent="0.25">
      <c r="D252" s="140"/>
      <c r="E252" s="140"/>
      <c r="F252" s="140"/>
      <c r="G252" s="140"/>
      <c r="H252" s="140"/>
      <c r="I252" s="140"/>
    </row>
    <row r="253" spans="4:9" s="83" customFormat="1" x14ac:dyDescent="0.25">
      <c r="D253" s="140"/>
      <c r="E253" s="140"/>
      <c r="F253" s="140"/>
      <c r="G253" s="140"/>
      <c r="H253" s="140"/>
      <c r="I253" s="140"/>
    </row>
    <row r="254" spans="4:9" s="83" customFormat="1" x14ac:dyDescent="0.25">
      <c r="D254" s="140"/>
      <c r="E254" s="140"/>
      <c r="F254" s="140"/>
      <c r="G254" s="140"/>
      <c r="H254" s="140"/>
      <c r="I254" s="140"/>
    </row>
    <row r="255" spans="4:9" s="83" customFormat="1" x14ac:dyDescent="0.25">
      <c r="D255" s="140"/>
      <c r="E255" s="140"/>
      <c r="F255" s="140"/>
      <c r="G255" s="140"/>
      <c r="H255" s="140"/>
      <c r="I255" s="140"/>
    </row>
    <row r="256" spans="4:9" s="83" customFormat="1" x14ac:dyDescent="0.25">
      <c r="D256" s="140"/>
      <c r="E256" s="140"/>
      <c r="F256" s="140"/>
      <c r="G256" s="140"/>
      <c r="H256" s="140"/>
      <c r="I256" s="140"/>
    </row>
    <row r="257" spans="4:9" s="83" customFormat="1" x14ac:dyDescent="0.25">
      <c r="D257" s="140"/>
      <c r="E257" s="140"/>
      <c r="F257" s="140"/>
      <c r="G257" s="140"/>
      <c r="H257" s="140"/>
      <c r="I257" s="140"/>
    </row>
    <row r="258" spans="4:9" s="83" customFormat="1" x14ac:dyDescent="0.25">
      <c r="D258" s="140"/>
      <c r="E258" s="140"/>
      <c r="F258" s="140"/>
      <c r="G258" s="140"/>
      <c r="H258" s="140"/>
      <c r="I258" s="140"/>
    </row>
    <row r="259" spans="4:9" s="83" customFormat="1" x14ac:dyDescent="0.25">
      <c r="D259" s="140"/>
      <c r="E259" s="140"/>
      <c r="F259" s="140"/>
      <c r="G259" s="140"/>
      <c r="H259" s="140"/>
      <c r="I259" s="140"/>
    </row>
    <row r="260" spans="4:9" s="83" customFormat="1" x14ac:dyDescent="0.25">
      <c r="D260" s="140"/>
      <c r="E260" s="140"/>
      <c r="F260" s="140"/>
      <c r="G260" s="140"/>
      <c r="H260" s="140"/>
      <c r="I260" s="140"/>
    </row>
    <row r="261" spans="4:9" s="83" customFormat="1" x14ac:dyDescent="0.25">
      <c r="D261" s="140"/>
      <c r="E261" s="140"/>
      <c r="F261" s="140"/>
      <c r="G261" s="140"/>
      <c r="H261" s="140"/>
      <c r="I261" s="140"/>
    </row>
    <row r="262" spans="4:9" s="83" customFormat="1" x14ac:dyDescent="0.25">
      <c r="D262" s="140"/>
      <c r="E262" s="140"/>
      <c r="F262" s="140"/>
      <c r="G262" s="140"/>
      <c r="H262" s="140"/>
      <c r="I262" s="140"/>
    </row>
    <row r="263" spans="4:9" s="83" customFormat="1" x14ac:dyDescent="0.25">
      <c r="D263" s="140"/>
      <c r="E263" s="140"/>
      <c r="F263" s="140"/>
      <c r="G263" s="140"/>
      <c r="H263" s="140"/>
      <c r="I263" s="140"/>
    </row>
    <row r="264" spans="4:9" s="83" customFormat="1" x14ac:dyDescent="0.25">
      <c r="D264" s="140"/>
      <c r="E264" s="140"/>
      <c r="F264" s="140"/>
      <c r="G264" s="140"/>
      <c r="H264" s="140"/>
      <c r="I264" s="140"/>
    </row>
    <row r="265" spans="4:9" s="83" customFormat="1" x14ac:dyDescent="0.25">
      <c r="D265" s="140"/>
      <c r="E265" s="140"/>
      <c r="F265" s="140"/>
      <c r="G265" s="140"/>
      <c r="H265" s="140"/>
      <c r="I265" s="140"/>
    </row>
    <row r="266" spans="4:9" s="83" customFormat="1" x14ac:dyDescent="0.25">
      <c r="D266" s="140"/>
      <c r="E266" s="140"/>
      <c r="F266" s="140"/>
      <c r="G266" s="140"/>
      <c r="H266" s="140"/>
      <c r="I266" s="140"/>
    </row>
    <row r="267" spans="4:9" s="83" customFormat="1" x14ac:dyDescent="0.25">
      <c r="D267" s="140"/>
      <c r="E267" s="140"/>
      <c r="F267" s="140"/>
      <c r="G267" s="140"/>
      <c r="H267" s="140"/>
      <c r="I267" s="140"/>
    </row>
    <row r="268" spans="4:9" s="83" customFormat="1" x14ac:dyDescent="0.25">
      <c r="D268" s="140"/>
      <c r="E268" s="140"/>
      <c r="F268" s="140"/>
      <c r="G268" s="140"/>
      <c r="H268" s="140"/>
      <c r="I268" s="140"/>
    </row>
    <row r="269" spans="4:9" s="83" customFormat="1" x14ac:dyDescent="0.25">
      <c r="D269" s="140"/>
      <c r="E269" s="140"/>
      <c r="F269" s="140"/>
      <c r="G269" s="140"/>
      <c r="H269" s="140"/>
      <c r="I269" s="140"/>
    </row>
    <row r="270" spans="4:9" s="83" customFormat="1" x14ac:dyDescent="0.25">
      <c r="D270" s="140"/>
      <c r="E270" s="140"/>
      <c r="F270" s="140"/>
      <c r="G270" s="140"/>
      <c r="H270" s="140"/>
      <c r="I270" s="140"/>
    </row>
    <row r="271" spans="4:9" s="83" customFormat="1" x14ac:dyDescent="0.25">
      <c r="D271" s="140"/>
      <c r="E271" s="140"/>
      <c r="F271" s="140"/>
      <c r="G271" s="140"/>
      <c r="H271" s="140"/>
      <c r="I271" s="140"/>
    </row>
    <row r="272" spans="4:9" s="83" customFormat="1" x14ac:dyDescent="0.25">
      <c r="D272" s="140"/>
      <c r="E272" s="140"/>
      <c r="F272" s="140"/>
      <c r="G272" s="140"/>
      <c r="H272" s="140"/>
      <c r="I272" s="140"/>
    </row>
    <row r="273" spans="4:9" s="83" customFormat="1" x14ac:dyDescent="0.25">
      <c r="D273" s="140"/>
      <c r="E273" s="140"/>
      <c r="F273" s="140"/>
      <c r="G273" s="140"/>
      <c r="H273" s="140"/>
      <c r="I273" s="140"/>
    </row>
    <row r="274" spans="4:9" s="83" customFormat="1" x14ac:dyDescent="0.25">
      <c r="D274" s="140"/>
      <c r="E274" s="140"/>
      <c r="F274" s="140"/>
      <c r="G274" s="140"/>
      <c r="H274" s="140"/>
      <c r="I274" s="140"/>
    </row>
    <row r="275" spans="4:9" s="83" customFormat="1" x14ac:dyDescent="0.25">
      <c r="D275" s="140"/>
      <c r="E275" s="140"/>
      <c r="F275" s="140"/>
      <c r="G275" s="140"/>
      <c r="H275" s="140"/>
      <c r="I275" s="140"/>
    </row>
    <row r="276" spans="4:9" s="83" customFormat="1" x14ac:dyDescent="0.25">
      <c r="D276" s="140"/>
      <c r="E276" s="140"/>
      <c r="F276" s="140"/>
      <c r="G276" s="140"/>
      <c r="H276" s="140"/>
      <c r="I276" s="140"/>
    </row>
    <row r="277" spans="4:9" s="83" customFormat="1" x14ac:dyDescent="0.25">
      <c r="D277" s="140"/>
      <c r="E277" s="140"/>
      <c r="F277" s="140"/>
      <c r="G277" s="140"/>
      <c r="H277" s="140"/>
      <c r="I277" s="140"/>
    </row>
    <row r="278" spans="4:9" s="83" customFormat="1" x14ac:dyDescent="0.25">
      <c r="D278" s="140"/>
      <c r="E278" s="140"/>
      <c r="F278" s="140"/>
      <c r="G278" s="140"/>
      <c r="H278" s="140"/>
      <c r="I278" s="140"/>
    </row>
    <row r="279" spans="4:9" s="83" customFormat="1" x14ac:dyDescent="0.25">
      <c r="D279" s="140"/>
      <c r="E279" s="140"/>
      <c r="F279" s="140"/>
      <c r="G279" s="140"/>
      <c r="H279" s="140"/>
      <c r="I279" s="140"/>
    </row>
    <row r="280" spans="4:9" s="83" customFormat="1" x14ac:dyDescent="0.25">
      <c r="D280" s="140"/>
      <c r="E280" s="140"/>
      <c r="F280" s="140"/>
      <c r="G280" s="140"/>
      <c r="H280" s="140"/>
      <c r="I280" s="140"/>
    </row>
    <row r="281" spans="4:9" s="83" customFormat="1" x14ac:dyDescent="0.25">
      <c r="D281" s="140"/>
      <c r="E281" s="140"/>
      <c r="F281" s="140"/>
      <c r="G281" s="140"/>
      <c r="H281" s="140"/>
      <c r="I281" s="140"/>
    </row>
    <row r="282" spans="4:9" s="83" customFormat="1" x14ac:dyDescent="0.25">
      <c r="D282" s="140"/>
      <c r="E282" s="140"/>
      <c r="F282" s="140"/>
      <c r="G282" s="140"/>
      <c r="H282" s="140"/>
      <c r="I282" s="140"/>
    </row>
    <row r="283" spans="4:9" s="83" customFormat="1" x14ac:dyDescent="0.25">
      <c r="D283" s="140"/>
      <c r="E283" s="140"/>
      <c r="F283" s="140"/>
      <c r="G283" s="140"/>
      <c r="H283" s="140"/>
      <c r="I283" s="140"/>
    </row>
    <row r="284" spans="4:9" s="83" customFormat="1" x14ac:dyDescent="0.25">
      <c r="D284" s="140"/>
      <c r="E284" s="140"/>
      <c r="F284" s="140"/>
      <c r="G284" s="140"/>
      <c r="H284" s="140"/>
      <c r="I284" s="140"/>
    </row>
    <row r="285" spans="4:9" s="83" customFormat="1" x14ac:dyDescent="0.25">
      <c r="D285" s="140"/>
      <c r="E285" s="140"/>
      <c r="F285" s="140"/>
      <c r="G285" s="140"/>
      <c r="H285" s="140"/>
      <c r="I285" s="140"/>
    </row>
    <row r="286" spans="4:9" s="83" customFormat="1" x14ac:dyDescent="0.25">
      <c r="D286" s="140"/>
      <c r="E286" s="140"/>
      <c r="F286" s="140"/>
      <c r="G286" s="140"/>
      <c r="H286" s="140"/>
      <c r="I286" s="140"/>
    </row>
    <row r="287" spans="4:9" s="83" customFormat="1" x14ac:dyDescent="0.25">
      <c r="D287" s="140"/>
      <c r="E287" s="140"/>
      <c r="F287" s="140"/>
      <c r="G287" s="140"/>
      <c r="H287" s="140"/>
      <c r="I287" s="140"/>
    </row>
    <row r="288" spans="4:9" s="83" customFormat="1" x14ac:dyDescent="0.25">
      <c r="D288" s="140"/>
      <c r="E288" s="140"/>
      <c r="F288" s="140"/>
      <c r="G288" s="140"/>
      <c r="H288" s="140"/>
      <c r="I288" s="140"/>
    </row>
    <row r="289" spans="4:9" s="83" customFormat="1" x14ac:dyDescent="0.25">
      <c r="D289" s="140"/>
      <c r="E289" s="140"/>
      <c r="F289" s="140"/>
      <c r="G289" s="140"/>
      <c r="H289" s="140"/>
      <c r="I289" s="140"/>
    </row>
    <row r="290" spans="4:9" s="83" customFormat="1" x14ac:dyDescent="0.25">
      <c r="D290" s="140"/>
      <c r="E290" s="140"/>
      <c r="F290" s="140"/>
      <c r="G290" s="140"/>
      <c r="H290" s="140"/>
      <c r="I290" s="140"/>
    </row>
    <row r="291" spans="4:9" s="83" customFormat="1" x14ac:dyDescent="0.25">
      <c r="D291" s="140"/>
      <c r="E291" s="140"/>
      <c r="F291" s="140"/>
      <c r="G291" s="140"/>
      <c r="H291" s="140"/>
      <c r="I291" s="140"/>
    </row>
    <row r="292" spans="4:9" s="83" customFormat="1" x14ac:dyDescent="0.25">
      <c r="D292" s="140"/>
      <c r="E292" s="140"/>
      <c r="F292" s="140"/>
      <c r="G292" s="140"/>
      <c r="H292" s="140"/>
      <c r="I292" s="140"/>
    </row>
    <row r="293" spans="4:9" s="83" customFormat="1" x14ac:dyDescent="0.25">
      <c r="D293" s="140"/>
      <c r="E293" s="140"/>
      <c r="F293" s="140"/>
      <c r="G293" s="140"/>
      <c r="H293" s="140"/>
      <c r="I293" s="140"/>
    </row>
    <row r="294" spans="4:9" s="83" customFormat="1" x14ac:dyDescent="0.25">
      <c r="D294" s="140"/>
      <c r="E294" s="140"/>
      <c r="F294" s="140"/>
      <c r="G294" s="140"/>
      <c r="H294" s="140"/>
      <c r="I294" s="140"/>
    </row>
    <row r="295" spans="4:9" s="83" customFormat="1" x14ac:dyDescent="0.25">
      <c r="D295" s="140"/>
      <c r="E295" s="140"/>
      <c r="F295" s="140"/>
      <c r="G295" s="140"/>
      <c r="H295" s="140"/>
      <c r="I295" s="140"/>
    </row>
    <row r="296" spans="4:9" s="83" customFormat="1" x14ac:dyDescent="0.25">
      <c r="D296" s="140"/>
      <c r="E296" s="140"/>
      <c r="F296" s="140"/>
      <c r="G296" s="140"/>
      <c r="H296" s="140"/>
      <c r="I296" s="140"/>
    </row>
    <row r="297" spans="4:9" s="83" customFormat="1" x14ac:dyDescent="0.25">
      <c r="D297" s="140"/>
      <c r="E297" s="140"/>
      <c r="F297" s="140"/>
      <c r="G297" s="140"/>
      <c r="H297" s="140"/>
      <c r="I297" s="140"/>
    </row>
    <row r="298" spans="4:9" s="83" customFormat="1" x14ac:dyDescent="0.25">
      <c r="D298" s="140"/>
      <c r="E298" s="140"/>
      <c r="F298" s="140"/>
      <c r="G298" s="140"/>
      <c r="H298" s="140"/>
      <c r="I298" s="140"/>
    </row>
    <row r="299" spans="4:9" s="83" customFormat="1" x14ac:dyDescent="0.25">
      <c r="D299" s="140"/>
      <c r="E299" s="140"/>
      <c r="F299" s="140"/>
      <c r="G299" s="140"/>
      <c r="H299" s="140"/>
      <c r="I299" s="140"/>
    </row>
    <row r="300" spans="4:9" s="83" customFormat="1" x14ac:dyDescent="0.25">
      <c r="D300" s="140"/>
      <c r="E300" s="140"/>
      <c r="F300" s="140"/>
      <c r="G300" s="140"/>
      <c r="H300" s="140"/>
      <c r="I300" s="140"/>
    </row>
    <row r="301" spans="4:9" s="83" customFormat="1" x14ac:dyDescent="0.25">
      <c r="D301" s="140"/>
      <c r="E301" s="140"/>
      <c r="F301" s="140"/>
      <c r="G301" s="140"/>
      <c r="H301" s="140"/>
      <c r="I301" s="140"/>
    </row>
    <row r="302" spans="4:9" s="83" customFormat="1" x14ac:dyDescent="0.25">
      <c r="D302" s="140"/>
      <c r="E302" s="140"/>
      <c r="F302" s="140"/>
      <c r="G302" s="140"/>
      <c r="H302" s="140"/>
      <c r="I302" s="140"/>
    </row>
    <row r="303" spans="4:9" s="83" customFormat="1" x14ac:dyDescent="0.25">
      <c r="D303" s="140"/>
      <c r="E303" s="140"/>
      <c r="F303" s="140"/>
      <c r="G303" s="140"/>
      <c r="H303" s="140"/>
      <c r="I303" s="140"/>
    </row>
    <row r="304" spans="4:9" s="83" customFormat="1" x14ac:dyDescent="0.25">
      <c r="D304" s="140"/>
      <c r="E304" s="140"/>
      <c r="F304" s="140"/>
      <c r="G304" s="140"/>
      <c r="H304" s="140"/>
      <c r="I304" s="140"/>
    </row>
    <row r="305" spans="4:9" s="83" customFormat="1" x14ac:dyDescent="0.25">
      <c r="D305" s="140"/>
      <c r="E305" s="140"/>
      <c r="F305" s="140"/>
      <c r="G305" s="140"/>
      <c r="H305" s="140"/>
      <c r="I305" s="140"/>
    </row>
    <row r="306" spans="4:9" s="83" customFormat="1" x14ac:dyDescent="0.25">
      <c r="D306" s="140"/>
      <c r="E306" s="140"/>
      <c r="F306" s="140"/>
      <c r="G306" s="140"/>
      <c r="H306" s="140"/>
      <c r="I306" s="140"/>
    </row>
    <row r="307" spans="4:9" s="83" customFormat="1" x14ac:dyDescent="0.25">
      <c r="D307" s="140"/>
      <c r="E307" s="140"/>
      <c r="F307" s="140"/>
      <c r="G307" s="140"/>
      <c r="H307" s="140"/>
      <c r="I307" s="140"/>
    </row>
    <row r="308" spans="4:9" s="83" customFormat="1" x14ac:dyDescent="0.25">
      <c r="D308" s="140"/>
      <c r="E308" s="140"/>
      <c r="F308" s="140"/>
      <c r="G308" s="140"/>
      <c r="H308" s="140"/>
      <c r="I308" s="140"/>
    </row>
    <row r="309" spans="4:9" s="83" customFormat="1" x14ac:dyDescent="0.25">
      <c r="D309" s="140"/>
      <c r="E309" s="140"/>
      <c r="F309" s="140"/>
      <c r="G309" s="140"/>
      <c r="H309" s="140"/>
      <c r="I309" s="140"/>
    </row>
    <row r="310" spans="4:9" s="83" customFormat="1" x14ac:dyDescent="0.25">
      <c r="D310" s="140"/>
      <c r="E310" s="140"/>
      <c r="F310" s="140"/>
      <c r="G310" s="140"/>
      <c r="H310" s="140"/>
      <c r="I310" s="140"/>
    </row>
    <row r="311" spans="4:9" s="83" customFormat="1" x14ac:dyDescent="0.25">
      <c r="D311" s="140"/>
      <c r="E311" s="140"/>
      <c r="F311" s="140"/>
      <c r="G311" s="140"/>
      <c r="H311" s="140"/>
      <c r="I311" s="140"/>
    </row>
    <row r="312" spans="4:9" s="83" customFormat="1" x14ac:dyDescent="0.25">
      <c r="D312" s="140"/>
      <c r="E312" s="140"/>
      <c r="F312" s="140"/>
      <c r="G312" s="140"/>
      <c r="H312" s="140"/>
      <c r="I312" s="140"/>
    </row>
    <row r="313" spans="4:9" s="83" customFormat="1" x14ac:dyDescent="0.25">
      <c r="D313" s="140"/>
      <c r="E313" s="140"/>
      <c r="F313" s="140"/>
      <c r="G313" s="140"/>
      <c r="H313" s="140"/>
      <c r="I313" s="140"/>
    </row>
    <row r="314" spans="4:9" s="83" customFormat="1" x14ac:dyDescent="0.25">
      <c r="D314" s="140"/>
      <c r="E314" s="140"/>
      <c r="F314" s="140"/>
      <c r="G314" s="140"/>
      <c r="H314" s="140"/>
      <c r="I314" s="140"/>
    </row>
    <row r="315" spans="4:9" s="83" customFormat="1" x14ac:dyDescent="0.25">
      <c r="D315" s="140"/>
      <c r="E315" s="140"/>
      <c r="F315" s="140"/>
      <c r="G315" s="140"/>
      <c r="H315" s="140"/>
      <c r="I315" s="140"/>
    </row>
    <row r="316" spans="4:9" s="83" customFormat="1" x14ac:dyDescent="0.25">
      <c r="D316" s="140"/>
      <c r="E316" s="140"/>
      <c r="F316" s="140"/>
      <c r="G316" s="140"/>
      <c r="H316" s="140"/>
      <c r="I316" s="140"/>
    </row>
    <row r="317" spans="4:9" s="83" customFormat="1" x14ac:dyDescent="0.25">
      <c r="D317" s="140"/>
      <c r="E317" s="140"/>
      <c r="F317" s="140"/>
      <c r="G317" s="140"/>
      <c r="H317" s="140"/>
      <c r="I317" s="140"/>
    </row>
    <row r="318" spans="4:9" s="83" customFormat="1" x14ac:dyDescent="0.25">
      <c r="D318" s="140"/>
      <c r="E318" s="140"/>
      <c r="F318" s="140"/>
      <c r="G318" s="140"/>
      <c r="H318" s="140"/>
      <c r="I318" s="140"/>
    </row>
    <row r="319" spans="4:9" s="83" customFormat="1" x14ac:dyDescent="0.25">
      <c r="D319" s="140"/>
      <c r="E319" s="140"/>
      <c r="F319" s="140"/>
      <c r="G319" s="140"/>
      <c r="H319" s="140"/>
      <c r="I319" s="140"/>
    </row>
    <row r="320" spans="4:9" s="83" customFormat="1" x14ac:dyDescent="0.25">
      <c r="D320" s="140"/>
      <c r="E320" s="140"/>
      <c r="F320" s="140"/>
      <c r="G320" s="140"/>
      <c r="H320" s="140"/>
      <c r="I320" s="140"/>
    </row>
    <row r="321" spans="4:9" s="83" customFormat="1" x14ac:dyDescent="0.25">
      <c r="D321" s="140"/>
      <c r="E321" s="140"/>
      <c r="F321" s="140"/>
      <c r="G321" s="140"/>
      <c r="H321" s="140"/>
      <c r="I321" s="140"/>
    </row>
    <row r="322" spans="4:9" s="83" customFormat="1" x14ac:dyDescent="0.25">
      <c r="D322" s="140"/>
      <c r="E322" s="140"/>
      <c r="F322" s="140"/>
      <c r="G322" s="140"/>
      <c r="H322" s="140"/>
      <c r="I322" s="140"/>
    </row>
    <row r="323" spans="4:9" s="83" customFormat="1" x14ac:dyDescent="0.25">
      <c r="D323" s="140"/>
      <c r="E323" s="140"/>
      <c r="F323" s="140"/>
      <c r="G323" s="140"/>
      <c r="H323" s="140"/>
      <c r="I323" s="140"/>
    </row>
    <row r="324" spans="4:9" s="83" customFormat="1" x14ac:dyDescent="0.25">
      <c r="D324" s="140"/>
      <c r="E324" s="140"/>
      <c r="F324" s="140"/>
      <c r="G324" s="140"/>
      <c r="H324" s="140"/>
      <c r="I324" s="140"/>
    </row>
    <row r="325" spans="4:9" s="83" customFormat="1" x14ac:dyDescent="0.25">
      <c r="D325" s="140"/>
      <c r="E325" s="140"/>
      <c r="F325" s="140"/>
      <c r="G325" s="140"/>
      <c r="H325" s="140"/>
      <c r="I325" s="140"/>
    </row>
    <row r="326" spans="4:9" s="83" customFormat="1" x14ac:dyDescent="0.25">
      <c r="D326" s="140"/>
      <c r="E326" s="140"/>
      <c r="F326" s="140"/>
      <c r="G326" s="140"/>
      <c r="H326" s="140"/>
      <c r="I326" s="140"/>
    </row>
    <row r="327" spans="4:9" s="83" customFormat="1" x14ac:dyDescent="0.25">
      <c r="D327" s="140"/>
      <c r="E327" s="140"/>
      <c r="F327" s="140"/>
      <c r="G327" s="140"/>
      <c r="H327" s="140"/>
      <c r="I327" s="140"/>
    </row>
    <row r="328" spans="4:9" s="83" customFormat="1" x14ac:dyDescent="0.25">
      <c r="D328" s="140"/>
      <c r="E328" s="140"/>
      <c r="F328" s="140"/>
      <c r="G328" s="140"/>
      <c r="H328" s="140"/>
      <c r="I328" s="140"/>
    </row>
    <row r="329" spans="4:9" s="83" customFormat="1" x14ac:dyDescent="0.25">
      <c r="D329" s="140"/>
      <c r="E329" s="140"/>
      <c r="F329" s="140"/>
      <c r="G329" s="140"/>
      <c r="H329" s="140"/>
      <c r="I329" s="140"/>
    </row>
    <row r="330" spans="4:9" s="83" customFormat="1" x14ac:dyDescent="0.25">
      <c r="D330" s="140"/>
      <c r="E330" s="140"/>
      <c r="F330" s="140"/>
      <c r="G330" s="140"/>
      <c r="H330" s="140"/>
      <c r="I330" s="140"/>
    </row>
    <row r="331" spans="4:9" s="83" customFormat="1" x14ac:dyDescent="0.25">
      <c r="D331" s="140"/>
      <c r="E331" s="140"/>
      <c r="F331" s="140"/>
      <c r="G331" s="140"/>
      <c r="H331" s="140"/>
      <c r="I331" s="140"/>
    </row>
    <row r="332" spans="4:9" s="83" customFormat="1" x14ac:dyDescent="0.25">
      <c r="D332" s="140"/>
      <c r="E332" s="140"/>
      <c r="F332" s="140"/>
      <c r="G332" s="140"/>
      <c r="H332" s="140"/>
      <c r="I332" s="140"/>
    </row>
    <row r="333" spans="4:9" s="83" customFormat="1" x14ac:dyDescent="0.25">
      <c r="D333" s="140"/>
      <c r="E333" s="140"/>
      <c r="F333" s="140"/>
      <c r="G333" s="140"/>
      <c r="H333" s="140"/>
      <c r="I333" s="140"/>
    </row>
    <row r="334" spans="4:9" s="83" customFormat="1" x14ac:dyDescent="0.25">
      <c r="D334" s="140"/>
      <c r="E334" s="140"/>
      <c r="F334" s="140"/>
      <c r="G334" s="140"/>
      <c r="H334" s="140"/>
      <c r="I334" s="140"/>
    </row>
    <row r="335" spans="4:9" s="83" customFormat="1" x14ac:dyDescent="0.25">
      <c r="D335" s="140"/>
      <c r="E335" s="140"/>
      <c r="F335" s="140"/>
      <c r="G335" s="140"/>
      <c r="H335" s="140"/>
      <c r="I335" s="140"/>
    </row>
    <row r="336" spans="4:9" s="83" customFormat="1" x14ac:dyDescent="0.25">
      <c r="D336" s="140"/>
      <c r="E336" s="140"/>
      <c r="F336" s="140"/>
      <c r="G336" s="140"/>
      <c r="H336" s="140"/>
      <c r="I336" s="140"/>
    </row>
    <row r="337" spans="4:9" s="83" customFormat="1" x14ac:dyDescent="0.25">
      <c r="D337" s="140"/>
      <c r="E337" s="140"/>
      <c r="F337" s="140"/>
      <c r="G337" s="140"/>
      <c r="H337" s="140"/>
      <c r="I337" s="140"/>
    </row>
    <row r="338" spans="4:9" s="83" customFormat="1" x14ac:dyDescent="0.25">
      <c r="D338" s="140"/>
      <c r="E338" s="140"/>
      <c r="F338" s="140"/>
      <c r="G338" s="140"/>
      <c r="H338" s="140"/>
      <c r="I338" s="140"/>
    </row>
    <row r="339" spans="4:9" s="83" customFormat="1" x14ac:dyDescent="0.25">
      <c r="D339" s="140"/>
      <c r="E339" s="140"/>
      <c r="F339" s="140"/>
      <c r="G339" s="140"/>
      <c r="H339" s="140"/>
      <c r="I339" s="140"/>
    </row>
    <row r="340" spans="4:9" s="83" customFormat="1" x14ac:dyDescent="0.25">
      <c r="D340" s="140"/>
      <c r="E340" s="140"/>
      <c r="F340" s="140"/>
      <c r="G340" s="140"/>
      <c r="H340" s="140"/>
      <c r="I340" s="140"/>
    </row>
    <row r="341" spans="4:9" s="83" customFormat="1" x14ac:dyDescent="0.25">
      <c r="D341" s="140"/>
      <c r="E341" s="140"/>
      <c r="F341" s="140"/>
      <c r="G341" s="140"/>
      <c r="H341" s="140"/>
      <c r="I341" s="140"/>
    </row>
    <row r="342" spans="4:9" s="83" customFormat="1" x14ac:dyDescent="0.25">
      <c r="D342" s="140"/>
      <c r="E342" s="140"/>
      <c r="F342" s="140"/>
      <c r="G342" s="140"/>
      <c r="H342" s="140"/>
      <c r="I342" s="140"/>
    </row>
    <row r="343" spans="4:9" s="83" customFormat="1" x14ac:dyDescent="0.25">
      <c r="D343" s="140"/>
      <c r="E343" s="140"/>
      <c r="F343" s="140"/>
      <c r="G343" s="140"/>
      <c r="H343" s="140"/>
      <c r="I343" s="140"/>
    </row>
    <row r="344" spans="4:9" s="83" customFormat="1" x14ac:dyDescent="0.25">
      <c r="D344" s="140"/>
      <c r="E344" s="140"/>
      <c r="F344" s="140"/>
      <c r="G344" s="140"/>
      <c r="H344" s="140"/>
      <c r="I344" s="140"/>
    </row>
    <row r="345" spans="4:9" s="83" customFormat="1" x14ac:dyDescent="0.25">
      <c r="D345" s="140"/>
      <c r="E345" s="140"/>
      <c r="F345" s="140"/>
      <c r="G345" s="140"/>
      <c r="H345" s="140"/>
      <c r="I345" s="140"/>
    </row>
    <row r="346" spans="4:9" s="83" customFormat="1" x14ac:dyDescent="0.25">
      <c r="D346" s="140"/>
      <c r="E346" s="140"/>
      <c r="F346" s="140"/>
      <c r="G346" s="140"/>
      <c r="H346" s="140"/>
      <c r="I346" s="140"/>
    </row>
    <row r="347" spans="4:9" s="83" customFormat="1" x14ac:dyDescent="0.25">
      <c r="D347" s="140"/>
      <c r="E347" s="140"/>
      <c r="F347" s="140"/>
      <c r="G347" s="140"/>
      <c r="H347" s="140"/>
      <c r="I347" s="140"/>
    </row>
    <row r="348" spans="4:9" s="83" customFormat="1" x14ac:dyDescent="0.25">
      <c r="D348" s="140"/>
      <c r="E348" s="140"/>
      <c r="F348" s="140"/>
      <c r="G348" s="140"/>
      <c r="H348" s="140"/>
      <c r="I348" s="140"/>
    </row>
    <row r="349" spans="4:9" s="83" customFormat="1" x14ac:dyDescent="0.25">
      <c r="D349" s="140"/>
      <c r="E349" s="140"/>
      <c r="F349" s="140"/>
      <c r="G349" s="140"/>
      <c r="H349" s="140"/>
      <c r="I349" s="140"/>
    </row>
    <row r="350" spans="4:9" s="83" customFormat="1" x14ac:dyDescent="0.25">
      <c r="D350" s="140"/>
      <c r="E350" s="140"/>
      <c r="F350" s="140"/>
      <c r="G350" s="140"/>
      <c r="H350" s="140"/>
      <c r="I350" s="140"/>
    </row>
    <row r="351" spans="4:9" s="83" customFormat="1" x14ac:dyDescent="0.25">
      <c r="D351" s="140"/>
      <c r="E351" s="140"/>
      <c r="F351" s="140"/>
      <c r="G351" s="140"/>
      <c r="H351" s="140"/>
      <c r="I351" s="140"/>
    </row>
    <row r="352" spans="4:9" s="83" customFormat="1" x14ac:dyDescent="0.25">
      <c r="D352" s="140"/>
      <c r="E352" s="140"/>
      <c r="F352" s="140"/>
      <c r="G352" s="140"/>
      <c r="H352" s="140"/>
      <c r="I352" s="140"/>
    </row>
    <row r="353" spans="4:9" s="83" customFormat="1" x14ac:dyDescent="0.25">
      <c r="D353" s="140"/>
      <c r="E353" s="140"/>
      <c r="F353" s="140"/>
      <c r="G353" s="140"/>
      <c r="H353" s="140"/>
      <c r="I353" s="140"/>
    </row>
    <row r="354" spans="4:9" s="83" customFormat="1" x14ac:dyDescent="0.25">
      <c r="D354" s="140"/>
      <c r="E354" s="140"/>
      <c r="F354" s="140"/>
      <c r="G354" s="140"/>
      <c r="H354" s="140"/>
      <c r="I354" s="140"/>
    </row>
    <row r="355" spans="4:9" s="83" customFormat="1" x14ac:dyDescent="0.25">
      <c r="D355" s="140"/>
      <c r="E355" s="140"/>
      <c r="F355" s="140"/>
      <c r="G355" s="140"/>
      <c r="H355" s="140"/>
      <c r="I355" s="140"/>
    </row>
    <row r="356" spans="4:9" s="83" customFormat="1" x14ac:dyDescent="0.25">
      <c r="D356" s="140"/>
      <c r="E356" s="140"/>
      <c r="F356" s="140"/>
      <c r="G356" s="140"/>
      <c r="H356" s="140"/>
      <c r="I356" s="140"/>
    </row>
    <row r="357" spans="4:9" s="83" customFormat="1" x14ac:dyDescent="0.25">
      <c r="D357" s="140"/>
      <c r="E357" s="140"/>
      <c r="F357" s="140"/>
      <c r="G357" s="140"/>
      <c r="H357" s="140"/>
      <c r="I357" s="140"/>
    </row>
    <row r="358" spans="4:9" s="83" customFormat="1" x14ac:dyDescent="0.25">
      <c r="D358" s="140"/>
      <c r="E358" s="140"/>
      <c r="F358" s="140"/>
      <c r="G358" s="140"/>
      <c r="H358" s="140"/>
      <c r="I358" s="140"/>
    </row>
    <row r="359" spans="4:9" s="83" customFormat="1" x14ac:dyDescent="0.25">
      <c r="D359" s="140"/>
      <c r="E359" s="140"/>
      <c r="F359" s="140"/>
      <c r="G359" s="140"/>
      <c r="H359" s="140"/>
      <c r="I359" s="140"/>
    </row>
    <row r="360" spans="4:9" s="83" customFormat="1" x14ac:dyDescent="0.25">
      <c r="D360" s="140"/>
      <c r="E360" s="140"/>
      <c r="F360" s="140"/>
      <c r="G360" s="140"/>
      <c r="H360" s="140"/>
      <c r="I360" s="140"/>
    </row>
    <row r="361" spans="4:9" s="83" customFormat="1" x14ac:dyDescent="0.25">
      <c r="D361" s="140"/>
      <c r="E361" s="140"/>
      <c r="F361" s="140"/>
      <c r="G361" s="140"/>
      <c r="H361" s="140"/>
      <c r="I361" s="140"/>
    </row>
    <row r="362" spans="4:9" s="83" customFormat="1" x14ac:dyDescent="0.25">
      <c r="D362" s="140"/>
      <c r="E362" s="140"/>
      <c r="F362" s="140"/>
      <c r="G362" s="140"/>
      <c r="H362" s="140"/>
      <c r="I362" s="140"/>
    </row>
    <row r="363" spans="4:9" s="83" customFormat="1" x14ac:dyDescent="0.25">
      <c r="D363" s="140"/>
      <c r="E363" s="140"/>
      <c r="F363" s="140"/>
      <c r="G363" s="140"/>
      <c r="H363" s="140"/>
      <c r="I363" s="140"/>
    </row>
    <row r="364" spans="4:9" s="83" customFormat="1" x14ac:dyDescent="0.25">
      <c r="D364" s="140"/>
      <c r="E364" s="140"/>
      <c r="F364" s="140"/>
      <c r="G364" s="140"/>
      <c r="H364" s="140"/>
      <c r="I364" s="140"/>
    </row>
    <row r="365" spans="4:9" s="83" customFormat="1" x14ac:dyDescent="0.25">
      <c r="D365" s="140"/>
      <c r="E365" s="140"/>
      <c r="F365" s="140"/>
      <c r="G365" s="140"/>
      <c r="H365" s="140"/>
      <c r="I365" s="140"/>
    </row>
    <row r="366" spans="4:9" s="83" customFormat="1" x14ac:dyDescent="0.25">
      <c r="D366" s="140"/>
      <c r="E366" s="140"/>
      <c r="F366" s="140"/>
      <c r="G366" s="140"/>
      <c r="H366" s="140"/>
      <c r="I366" s="140"/>
    </row>
    <row r="367" spans="4:9" s="83" customFormat="1" x14ac:dyDescent="0.25">
      <c r="D367" s="140"/>
      <c r="E367" s="140"/>
      <c r="F367" s="140"/>
      <c r="G367" s="140"/>
      <c r="H367" s="140"/>
      <c r="I367" s="140"/>
    </row>
    <row r="368" spans="4:9" s="83" customFormat="1" x14ac:dyDescent="0.25">
      <c r="D368" s="140"/>
      <c r="E368" s="140"/>
      <c r="F368" s="140"/>
      <c r="G368" s="140"/>
      <c r="H368" s="140"/>
      <c r="I368" s="140"/>
    </row>
    <row r="369" spans="4:9" s="83" customFormat="1" x14ac:dyDescent="0.25">
      <c r="D369" s="140"/>
      <c r="E369" s="140"/>
      <c r="F369" s="140"/>
      <c r="G369" s="140"/>
      <c r="H369" s="140"/>
      <c r="I369" s="140"/>
    </row>
    <row r="370" spans="4:9" s="83" customFormat="1" x14ac:dyDescent="0.25">
      <c r="D370" s="140"/>
      <c r="E370" s="140"/>
      <c r="F370" s="140"/>
      <c r="G370" s="140"/>
      <c r="H370" s="140"/>
      <c r="I370" s="140"/>
    </row>
    <row r="371" spans="4:9" s="83" customFormat="1" x14ac:dyDescent="0.25">
      <c r="D371" s="140"/>
      <c r="E371" s="140"/>
      <c r="F371" s="140"/>
      <c r="G371" s="140"/>
      <c r="H371" s="140"/>
      <c r="I371" s="140"/>
    </row>
    <row r="372" spans="4:9" s="83" customFormat="1" x14ac:dyDescent="0.25">
      <c r="D372" s="140"/>
      <c r="E372" s="140"/>
      <c r="F372" s="140"/>
      <c r="G372" s="140"/>
      <c r="H372" s="140"/>
      <c r="I372" s="140"/>
    </row>
    <row r="373" spans="4:9" s="83" customFormat="1" x14ac:dyDescent="0.25">
      <c r="D373" s="140"/>
      <c r="E373" s="140"/>
      <c r="F373" s="140"/>
      <c r="G373" s="140"/>
      <c r="H373" s="140"/>
      <c r="I373" s="140"/>
    </row>
    <row r="374" spans="4:9" s="83" customFormat="1" x14ac:dyDescent="0.25">
      <c r="D374" s="140"/>
      <c r="E374" s="140"/>
      <c r="F374" s="140"/>
      <c r="G374" s="140"/>
      <c r="H374" s="140"/>
      <c r="I374" s="140"/>
    </row>
    <row r="375" spans="4:9" s="83" customFormat="1" x14ac:dyDescent="0.25">
      <c r="D375" s="140"/>
      <c r="E375" s="140"/>
      <c r="F375" s="140"/>
      <c r="G375" s="140"/>
      <c r="H375" s="140"/>
      <c r="I375" s="140"/>
    </row>
    <row r="376" spans="4:9" s="83" customFormat="1" x14ac:dyDescent="0.25">
      <c r="D376" s="140"/>
      <c r="E376" s="140"/>
      <c r="F376" s="140"/>
      <c r="G376" s="140"/>
      <c r="H376" s="140"/>
      <c r="I376" s="140"/>
    </row>
    <row r="377" spans="4:9" s="83" customFormat="1" x14ac:dyDescent="0.25">
      <c r="D377" s="140"/>
      <c r="E377" s="140"/>
      <c r="F377" s="140"/>
      <c r="G377" s="140"/>
      <c r="H377" s="140"/>
      <c r="I377" s="140"/>
    </row>
    <row r="378" spans="4:9" s="83" customFormat="1" x14ac:dyDescent="0.25">
      <c r="D378" s="140"/>
      <c r="E378" s="140"/>
      <c r="F378" s="140"/>
      <c r="G378" s="140"/>
      <c r="H378" s="140"/>
      <c r="I378" s="140"/>
    </row>
    <row r="379" spans="4:9" s="83" customFormat="1" x14ac:dyDescent="0.25">
      <c r="D379" s="140"/>
      <c r="E379" s="140"/>
      <c r="F379" s="140"/>
      <c r="G379" s="140"/>
      <c r="H379" s="140"/>
      <c r="I379" s="140"/>
    </row>
    <row r="380" spans="4:9" s="83" customFormat="1" x14ac:dyDescent="0.25">
      <c r="D380" s="140"/>
      <c r="E380" s="140"/>
      <c r="F380" s="140"/>
      <c r="G380" s="140"/>
      <c r="H380" s="140"/>
      <c r="I380" s="140"/>
    </row>
    <row r="381" spans="4:9" s="83" customFormat="1" x14ac:dyDescent="0.25">
      <c r="D381" s="140"/>
      <c r="E381" s="140"/>
      <c r="F381" s="140"/>
      <c r="G381" s="140"/>
      <c r="H381" s="140"/>
      <c r="I381" s="140"/>
    </row>
    <row r="382" spans="4:9" s="83" customFormat="1" x14ac:dyDescent="0.25">
      <c r="D382" s="140"/>
      <c r="E382" s="140"/>
      <c r="F382" s="140"/>
      <c r="G382" s="140"/>
      <c r="H382" s="140"/>
      <c r="I382" s="140"/>
    </row>
    <row r="383" spans="4:9" s="83" customFormat="1" x14ac:dyDescent="0.25">
      <c r="D383" s="140"/>
      <c r="E383" s="140"/>
      <c r="F383" s="140"/>
      <c r="G383" s="140"/>
      <c r="H383" s="140"/>
      <c r="I383" s="140"/>
    </row>
    <row r="384" spans="4:9" s="83" customFormat="1" x14ac:dyDescent="0.25">
      <c r="D384" s="140"/>
      <c r="E384" s="140"/>
      <c r="F384" s="140"/>
      <c r="G384" s="140"/>
      <c r="H384" s="140"/>
      <c r="I384" s="140"/>
    </row>
    <row r="385" spans="4:9" s="83" customFormat="1" x14ac:dyDescent="0.25">
      <c r="D385" s="140"/>
      <c r="E385" s="140"/>
      <c r="F385" s="140"/>
      <c r="G385" s="140"/>
      <c r="H385" s="140"/>
      <c r="I385" s="140"/>
    </row>
    <row r="386" spans="4:9" s="83" customFormat="1" x14ac:dyDescent="0.25">
      <c r="D386" s="140"/>
      <c r="E386" s="140"/>
      <c r="F386" s="140"/>
      <c r="G386" s="140"/>
      <c r="H386" s="140"/>
      <c r="I386" s="140"/>
    </row>
    <row r="387" spans="4:9" s="83" customFormat="1" x14ac:dyDescent="0.25">
      <c r="D387" s="140"/>
      <c r="E387" s="140"/>
      <c r="F387" s="140"/>
      <c r="G387" s="140"/>
      <c r="H387" s="140"/>
      <c r="I387" s="140"/>
    </row>
    <row r="388" spans="4:9" s="83" customFormat="1" x14ac:dyDescent="0.25">
      <c r="D388" s="140"/>
      <c r="E388" s="140"/>
      <c r="F388" s="140"/>
      <c r="G388" s="140"/>
      <c r="H388" s="140"/>
      <c r="I388" s="140"/>
    </row>
    <row r="389" spans="4:9" s="83" customFormat="1" x14ac:dyDescent="0.25">
      <c r="D389" s="140"/>
      <c r="E389" s="140"/>
      <c r="F389" s="140"/>
      <c r="G389" s="140"/>
      <c r="H389" s="140"/>
      <c r="I389" s="140"/>
    </row>
    <row r="390" spans="4:9" s="83" customFormat="1" x14ac:dyDescent="0.25">
      <c r="D390" s="140"/>
      <c r="E390" s="140"/>
      <c r="F390" s="140"/>
      <c r="G390" s="140"/>
      <c r="H390" s="140"/>
      <c r="I390" s="140"/>
    </row>
    <row r="391" spans="4:9" s="83" customFormat="1" x14ac:dyDescent="0.25">
      <c r="D391" s="140"/>
      <c r="E391" s="140"/>
      <c r="F391" s="140"/>
      <c r="G391" s="140"/>
      <c r="H391" s="140"/>
      <c r="I391" s="140"/>
    </row>
    <row r="392" spans="4:9" s="83" customFormat="1" x14ac:dyDescent="0.25">
      <c r="D392" s="140"/>
      <c r="E392" s="140"/>
      <c r="F392" s="140"/>
      <c r="G392" s="140"/>
      <c r="H392" s="140"/>
      <c r="I392" s="140"/>
    </row>
    <row r="393" spans="4:9" s="83" customFormat="1" x14ac:dyDescent="0.25">
      <c r="D393" s="140"/>
      <c r="E393" s="140"/>
      <c r="F393" s="140"/>
      <c r="G393" s="140"/>
      <c r="H393" s="140"/>
      <c r="I393" s="140"/>
    </row>
    <row r="394" spans="4:9" s="83" customFormat="1" x14ac:dyDescent="0.25">
      <c r="D394" s="140"/>
      <c r="E394" s="140"/>
      <c r="F394" s="140"/>
      <c r="G394" s="140"/>
      <c r="H394" s="140"/>
      <c r="I394" s="140"/>
    </row>
    <row r="395" spans="4:9" s="83" customFormat="1" x14ac:dyDescent="0.25">
      <c r="D395" s="140"/>
      <c r="E395" s="140"/>
      <c r="F395" s="140"/>
      <c r="G395" s="140"/>
      <c r="H395" s="140"/>
      <c r="I395" s="140"/>
    </row>
    <row r="396" spans="4:9" s="83" customFormat="1" x14ac:dyDescent="0.25">
      <c r="D396" s="140"/>
      <c r="E396" s="140"/>
      <c r="F396" s="140"/>
      <c r="G396" s="140"/>
      <c r="H396" s="140"/>
      <c r="I396" s="140"/>
    </row>
    <row r="397" spans="4:9" s="83" customFormat="1" x14ac:dyDescent="0.25">
      <c r="D397" s="140"/>
      <c r="E397" s="140"/>
      <c r="F397" s="140"/>
      <c r="G397" s="140"/>
      <c r="H397" s="140"/>
      <c r="I397" s="140"/>
    </row>
    <row r="398" spans="4:9" s="83" customFormat="1" x14ac:dyDescent="0.25">
      <c r="D398" s="140"/>
      <c r="E398" s="140"/>
      <c r="F398" s="140"/>
      <c r="G398" s="140"/>
      <c r="H398" s="140"/>
      <c r="I398" s="140"/>
    </row>
    <row r="399" spans="4:9" s="83" customFormat="1" x14ac:dyDescent="0.25">
      <c r="D399" s="140"/>
      <c r="E399" s="140"/>
      <c r="F399" s="140"/>
      <c r="G399" s="140"/>
      <c r="H399" s="140"/>
      <c r="I399" s="140"/>
    </row>
    <row r="400" spans="4:9" s="83" customFormat="1" x14ac:dyDescent="0.25">
      <c r="D400" s="140"/>
      <c r="E400" s="140"/>
      <c r="F400" s="140"/>
      <c r="G400" s="140"/>
      <c r="H400" s="140"/>
      <c r="I400" s="140"/>
    </row>
    <row r="401" spans="4:9" s="83" customFormat="1" x14ac:dyDescent="0.25">
      <c r="D401" s="140"/>
      <c r="E401" s="140"/>
      <c r="F401" s="140"/>
      <c r="G401" s="140"/>
      <c r="H401" s="140"/>
      <c r="I401" s="140"/>
    </row>
    <row r="402" spans="4:9" s="83" customFormat="1" x14ac:dyDescent="0.25">
      <c r="D402" s="140"/>
      <c r="E402" s="140"/>
      <c r="F402" s="140"/>
      <c r="G402" s="140"/>
      <c r="H402" s="140"/>
      <c r="I402" s="140"/>
    </row>
    <row r="403" spans="4:9" s="83" customFormat="1" x14ac:dyDescent="0.25">
      <c r="D403" s="140"/>
      <c r="E403" s="140"/>
      <c r="F403" s="140"/>
      <c r="G403" s="140"/>
      <c r="H403" s="140"/>
      <c r="I403" s="140"/>
    </row>
    <row r="404" spans="4:9" s="83" customFormat="1" x14ac:dyDescent="0.25">
      <c r="D404" s="140"/>
      <c r="E404" s="140"/>
      <c r="F404" s="140"/>
      <c r="G404" s="140"/>
      <c r="H404" s="140"/>
      <c r="I404" s="140"/>
    </row>
    <row r="405" spans="4:9" s="83" customFormat="1" x14ac:dyDescent="0.25">
      <c r="D405" s="140"/>
      <c r="E405" s="140"/>
      <c r="F405" s="140"/>
      <c r="G405" s="140"/>
      <c r="H405" s="140"/>
      <c r="I405" s="140"/>
    </row>
    <row r="406" spans="4:9" s="83" customFormat="1" x14ac:dyDescent="0.25">
      <c r="D406" s="140"/>
      <c r="E406" s="140"/>
      <c r="F406" s="140"/>
      <c r="G406" s="140"/>
      <c r="H406" s="140"/>
      <c r="I406" s="140"/>
    </row>
    <row r="407" spans="4:9" s="83" customFormat="1" x14ac:dyDescent="0.25">
      <c r="D407" s="140"/>
      <c r="E407" s="140"/>
      <c r="F407" s="140"/>
      <c r="G407" s="140"/>
      <c r="H407" s="140"/>
      <c r="I407" s="140"/>
    </row>
    <row r="408" spans="4:9" s="83" customFormat="1" x14ac:dyDescent="0.25">
      <c r="D408" s="140"/>
      <c r="E408" s="140"/>
      <c r="F408" s="140"/>
      <c r="G408" s="140"/>
      <c r="H408" s="140"/>
      <c r="I408" s="140"/>
    </row>
    <row r="409" spans="4:9" s="83" customFormat="1" x14ac:dyDescent="0.25">
      <c r="D409" s="140"/>
      <c r="E409" s="140"/>
      <c r="F409" s="140"/>
      <c r="G409" s="140"/>
      <c r="H409" s="140"/>
      <c r="I409" s="140"/>
    </row>
    <row r="410" spans="4:9" s="83" customFormat="1" x14ac:dyDescent="0.25">
      <c r="D410" s="140"/>
      <c r="E410" s="140"/>
      <c r="F410" s="140"/>
      <c r="G410" s="140"/>
      <c r="H410" s="140"/>
      <c r="I410" s="140"/>
    </row>
    <row r="411" spans="4:9" s="83" customFormat="1" x14ac:dyDescent="0.25">
      <c r="D411" s="140"/>
      <c r="E411" s="140"/>
      <c r="F411" s="140"/>
      <c r="G411" s="140"/>
      <c r="H411" s="140"/>
      <c r="I411" s="140"/>
    </row>
    <row r="412" spans="4:9" s="83" customFormat="1" x14ac:dyDescent="0.25">
      <c r="D412" s="140"/>
      <c r="E412" s="140"/>
      <c r="F412" s="140"/>
      <c r="G412" s="140"/>
      <c r="H412" s="140"/>
      <c r="I412" s="140"/>
    </row>
  </sheetData>
  <mergeCells count="12">
    <mergeCell ref="E199:I199"/>
    <mergeCell ref="A1:I1"/>
    <mergeCell ref="A2:I2"/>
    <mergeCell ref="A3:I3"/>
    <mergeCell ref="A4:I4"/>
    <mergeCell ref="A5:I5"/>
    <mergeCell ref="A7:I7"/>
    <mergeCell ref="A9:I9"/>
    <mergeCell ref="A10:A11"/>
    <mergeCell ref="D10:E10"/>
    <mergeCell ref="F10:G10"/>
    <mergeCell ref="H10:I10"/>
  </mergeCells>
  <conditionalFormatting sqref="N41:N76 P41:P63 L15:L32 P15:P32 N15:N32 P74:P84 N78:N84 L41:L84 L91:L109 N91:N109 P91:P109">
    <cfRule type="cellIs" dxfId="7" priority="8" stopIfTrue="1" operator="lessThan">
      <formula>0</formula>
    </cfRule>
  </conditionalFormatting>
  <conditionalFormatting sqref="P64:P73">
    <cfRule type="cellIs" dxfId="6" priority="7" stopIfTrue="1" operator="lessThan">
      <formula>0</formula>
    </cfRule>
  </conditionalFormatting>
  <conditionalFormatting sqref="N77">
    <cfRule type="cellIs" dxfId="5" priority="6" stopIfTrue="1" operator="lessThan">
      <formula>0</formula>
    </cfRule>
  </conditionalFormatting>
  <conditionalFormatting sqref="D205 F205 H205">
    <cfRule type="cellIs" dxfId="4" priority="5" stopIfTrue="1" operator="equal">
      <formula>0</formula>
    </cfRule>
  </conditionalFormatting>
  <conditionalFormatting sqref="P85 N85 L85">
    <cfRule type="cellIs" dxfId="3" priority="4" stopIfTrue="1" operator="lessThan">
      <formula>0</formula>
    </cfRule>
  </conditionalFormatting>
  <conditionalFormatting sqref="P86 N86 L86">
    <cfRule type="cellIs" dxfId="2" priority="3" stopIfTrue="1" operator="lessThan">
      <formula>0</formula>
    </cfRule>
  </conditionalFormatting>
  <conditionalFormatting sqref="L33 P33 N33">
    <cfRule type="cellIs" dxfId="1" priority="2" stopIfTrue="1" operator="lessThan">
      <formula>0</formula>
    </cfRule>
  </conditionalFormatting>
  <conditionalFormatting sqref="L34:L40 P34:P40 N34:N40">
    <cfRule type="cellIs" dxfId="0" priority="1" stopIfTrue="1" operator="lessThan">
      <formula>0</formula>
    </cfRule>
  </conditionalFormatting>
  <printOptions horizontalCentered="1"/>
  <pageMargins left="0" right="0" top="0" bottom="0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Утверждение!Заголовки_для_печати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2023-10-13T05:44:54Z</cp:lastPrinted>
  <dcterms:created xsi:type="dcterms:W3CDTF">2020-12-15T09:22:44Z</dcterms:created>
  <dcterms:modified xsi:type="dcterms:W3CDTF">2023-10-13T05:46:29Z</dcterms:modified>
</cp:coreProperties>
</file>