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8950" windowHeight="15840" tabRatio="851" activeTab="10"/>
  </bookViews>
  <sheets>
    <sheet name="Рз, Пр" sheetId="16" r:id="rId1"/>
    <sheet name="Дотация 23 - 25" sheetId="6" r:id="rId2"/>
    <sheet name="Дотация на сбалансированность 2" sheetId="19" r:id="rId3"/>
    <sheet name="Субсидии 2023" sheetId="12" r:id="rId4"/>
    <sheet name="Субсидии 24-25" sheetId="2" r:id="rId5"/>
    <sheet name="Субвенции 2023" sheetId="5" r:id="rId6"/>
    <sheet name="Субвенции 24 -25" sheetId="7" r:id="rId7"/>
    <sheet name="Иные 2023" sheetId="4" r:id="rId8"/>
    <sheet name="Иные 2024 - 2025" sheetId="11" r:id="rId9"/>
    <sheet name="Переданные 2023 - 2025" sheetId="18" r:id="rId10"/>
    <sheet name="Бюджет района" sheetId="22" r:id="rId11"/>
  </sheets>
  <externalReferences>
    <externalReference r:id="rId12"/>
  </externalReferences>
  <definedNames>
    <definedName name="_1_Excel_BuiltIn_Print_Titles_1" localSheetId="10">#REF!</definedName>
    <definedName name="_1_Excel_BuiltIn_Print_Titles_1" localSheetId="2">#REF!</definedName>
    <definedName name="_1_Excel_BuiltIn_Print_Titles_1" localSheetId="8">#REF!</definedName>
    <definedName name="_1_Excel_BuiltIn_Print_Titles_1" localSheetId="0">#REF!</definedName>
    <definedName name="_1_Excel_BuiltIn_Print_Titles_1" localSheetId="5">#REF!</definedName>
    <definedName name="_1_Excel_BuiltIn_Print_Titles_1" localSheetId="3">#REF!</definedName>
    <definedName name="_1_Excel_BuiltIn_Print_Titles_1">#REF!</definedName>
    <definedName name="_2Excel_BuiltIn_Print_Titles_1" localSheetId="10">#REF!</definedName>
    <definedName name="_2Excel_BuiltIn_Print_Titles_1" localSheetId="2">#REF!</definedName>
    <definedName name="_2Excel_BuiltIn_Print_Titles_1" localSheetId="8">#REF!</definedName>
    <definedName name="_2Excel_BuiltIn_Print_Titles_1" localSheetId="0">#REF!</definedName>
    <definedName name="_2Excel_BuiltIn_Print_Titles_1" localSheetId="3">#REF!</definedName>
    <definedName name="_2Excel_BuiltIn_Print_Titles_1">#REF!</definedName>
    <definedName name="_3Excel_BuiltIn_Print_Titles_1" localSheetId="10">#REF!</definedName>
    <definedName name="_3Excel_BuiltIn_Print_Titles_1" localSheetId="2">#REF!</definedName>
    <definedName name="_3Excel_BuiltIn_Print_Titles_1" localSheetId="0">#REF!</definedName>
    <definedName name="_3Excel_BuiltIn_Print_Titles_1" localSheetId="5">#REF!</definedName>
    <definedName name="_3Excel_BuiltIn_Print_Titles_1" localSheetId="3">#REF!</definedName>
    <definedName name="_3Excel_BuiltIn_Print_Titles_1">#REF!</definedName>
    <definedName name="_xlnm._FilterDatabase" localSheetId="10" hidden="1">'Бюджет района'!$A$5:$D$50</definedName>
    <definedName name="_xlnm._FilterDatabase" localSheetId="1" hidden="1">'Дотация 23 - 25'!$A$5:$O$19</definedName>
    <definedName name="_xlnm._FilterDatabase" localSheetId="2" hidden="1">'Дотация на сбалансированность 2'!$A$5:$O$19</definedName>
    <definedName name="_xlnm._FilterDatabase" localSheetId="7" hidden="1">'Иные 2023'!$A$4:$H$9</definedName>
    <definedName name="_xlnm._FilterDatabase" localSheetId="8" hidden="1">'Иные 2024 - 2025'!$A$5:$N$9</definedName>
    <definedName name="_xlnm._FilterDatabase" localSheetId="5" hidden="1">'Субвенции 2023'!$A$4:$G$52</definedName>
    <definedName name="_xlnm._FilterDatabase" localSheetId="6" hidden="1">'Субвенции 24 -25'!$A$4:$L$57</definedName>
    <definedName name="_xlnm._FilterDatabase" localSheetId="3" hidden="1">'Субсидии 2023'!$A$5:$H$52</definedName>
    <definedName name="_xlnm._FilterDatabase" localSheetId="4" hidden="1">'Субсидии 24-25'!$A$5:$M$62</definedName>
    <definedName name="Excel_BuiltIn_Print_Area_1" localSheetId="10">#REF!</definedName>
    <definedName name="Excel_BuiltIn_Print_Area_1" localSheetId="2">#REF!</definedName>
    <definedName name="Excel_BuiltIn_Print_Area_1" localSheetId="8">#REF!</definedName>
    <definedName name="Excel_BuiltIn_Print_Area_1" localSheetId="0">#REF!</definedName>
    <definedName name="Excel_BuiltIn_Print_Area_1" localSheetId="3">#REF!</definedName>
    <definedName name="Excel_BuiltIn_Print_Area_1">#REF!</definedName>
    <definedName name="Excel_BuiltIn_Print_Area_2" localSheetId="10">#REF!</definedName>
    <definedName name="Excel_BuiltIn_Print_Area_2" localSheetId="2">#REF!</definedName>
    <definedName name="Excel_BuiltIn_Print_Area_2" localSheetId="8">#REF!</definedName>
    <definedName name="Excel_BuiltIn_Print_Area_2" localSheetId="0">#REF!</definedName>
    <definedName name="Excel_BuiltIn_Print_Area_2" localSheetId="3">#REF!</definedName>
    <definedName name="Excel_BuiltIn_Print_Area_2">#REF!</definedName>
    <definedName name="Excel_BuiltIn_Print_Titles" localSheetId="10">#REF!</definedName>
    <definedName name="Excel_BuiltIn_Print_Titles" localSheetId="2">#REF!</definedName>
    <definedName name="Excel_BuiltIn_Print_Titles" localSheetId="8">#REF!</definedName>
    <definedName name="Excel_BuiltIn_Print_Titles" localSheetId="0">#REF!</definedName>
    <definedName name="Excel_BuiltIn_Print_Titles" localSheetId="3">#REF!</definedName>
    <definedName name="Excel_BuiltIn_Print_Titles">#REF!</definedName>
    <definedName name="Excel_BuiltIn_Print_Titles_1" localSheetId="10">#REF!</definedName>
    <definedName name="Excel_BuiltIn_Print_Titles_1" localSheetId="2">#REF!</definedName>
    <definedName name="Excel_BuiltIn_Print_Titles_1" localSheetId="0">#REF!</definedName>
    <definedName name="Excel_BuiltIn_Print_Titles_1">#REF!</definedName>
    <definedName name="Excel_BuiltIn_Print_Titles_1_1" localSheetId="10">#REF!</definedName>
    <definedName name="Excel_BuiltIn_Print_Titles_1_1" localSheetId="2">#REF!</definedName>
    <definedName name="Excel_BuiltIn_Print_Titles_1_1" localSheetId="0">#REF!</definedName>
    <definedName name="Excel_BuiltIn_Print_Titles_1_1">#REF!</definedName>
    <definedName name="Svod0306" localSheetId="10">#REF!</definedName>
    <definedName name="Svod0306">#REF!</definedName>
    <definedName name="title" localSheetId="0">'[1]Огл. Графиков'!$B$2:$B$31</definedName>
    <definedName name="title" localSheetId="3">'[1]Огл. Графиков'!$B$2:$B$31</definedName>
    <definedName name="title">'[1]Огл. Графиков'!$B$2:$B$31</definedName>
    <definedName name="Z_1808CF5A_872D_4CBB_BFB0_9E68E7293EBF_.wvu.FilterData" localSheetId="10" hidden="1">'Бюджет района'!$A$5:$D$5</definedName>
    <definedName name="Z_1808CF5A_872D_4CBB_BFB0_9E68E7293EBF_.wvu.PrintTitles" localSheetId="10" hidden="1">'Бюджет района'!$5:$5</definedName>
    <definedName name="а1" localSheetId="10">#REF!</definedName>
    <definedName name="а1" localSheetId="1">#REF!</definedName>
    <definedName name="а1" localSheetId="2">#REF!</definedName>
    <definedName name="а1" localSheetId="7">#REF!</definedName>
    <definedName name="а1" localSheetId="8">#REF!</definedName>
    <definedName name="а1" localSheetId="0">#REF!</definedName>
    <definedName name="а1" localSheetId="5">#REF!</definedName>
    <definedName name="а1" localSheetId="3">#REF!</definedName>
    <definedName name="а1">#REF!</definedName>
    <definedName name="Вып_ОФ_с_пц" localSheetId="0">[1]рабочий!$Y$202:$AP$224</definedName>
    <definedName name="Вып_ОФ_с_пц" localSheetId="3">[1]рабочий!$Y$202:$AP$224</definedName>
    <definedName name="Вып_ОФ_с_пц">[1]рабочий!$Y$202:$AP$224</definedName>
    <definedName name="Вып_с_новых_ОФ" localSheetId="0">[1]рабочий!$Y$277:$AP$299</definedName>
    <definedName name="Вып_с_новых_ОФ" localSheetId="3">[1]рабочий!$Y$277:$AP$299</definedName>
    <definedName name="Вып_с_новых_ОФ">[1]рабочий!$Y$277:$AP$299</definedName>
    <definedName name="График">"Диагр. 4"</definedName>
    <definedName name="д" localSheetId="10">#REF!</definedName>
    <definedName name="д">#REF!</definedName>
    <definedName name="Дефл_ц_пред_год" localSheetId="0">'[1]Текущие цены'!$AT$36:$BK$58</definedName>
    <definedName name="Дефл_ц_пред_год" localSheetId="3">'[1]Текущие цены'!$AT$36:$BK$58</definedName>
    <definedName name="Дефл_ц_пред_год">'[1]Текущие цены'!$AT$36:$BK$58</definedName>
    <definedName name="Дефлятор_годовой" localSheetId="0">'[1]Текущие цены'!$Y$4:$AP$27</definedName>
    <definedName name="Дефлятор_годовой" localSheetId="3">'[1]Текущие цены'!$Y$4:$AP$27</definedName>
    <definedName name="Дефлятор_годовой">'[1]Текущие цены'!$Y$4:$AP$27</definedName>
    <definedName name="Дефлятор_цепной" localSheetId="0">'[1]Текущие цены'!$Y$36:$AP$58</definedName>
    <definedName name="Дефлятор_цепной" localSheetId="3">'[1]Текущие цены'!$Y$36:$AP$58</definedName>
    <definedName name="Дефлятор_цепной">'[1]Текущие цены'!$Y$36:$AP$58</definedName>
    <definedName name="_xlnm.Print_Titles" localSheetId="10">'Бюджет района'!$5:$5</definedName>
    <definedName name="_xlnm.Print_Titles" localSheetId="1">'Дотация 23 - 25'!$4:$5</definedName>
    <definedName name="_xlnm.Print_Titles" localSheetId="2">'Дотация на сбалансированность 2'!$4:$5</definedName>
    <definedName name="_xlnm.Print_Titles" localSheetId="7">'Иные 2023'!$3:$4</definedName>
    <definedName name="_xlnm.Print_Titles" localSheetId="8">'Иные 2024 - 2025'!$4:$5</definedName>
    <definedName name="_xlnm.Print_Titles" localSheetId="9">'Переданные 2023 - 2025'!$3:$4</definedName>
    <definedName name="_xlnm.Print_Titles" localSheetId="0">'Рз, Пр'!$5:$5</definedName>
    <definedName name="_xlnm.Print_Titles" localSheetId="5">'Субвенции 2023'!$4:$4</definedName>
    <definedName name="_xlnm.Print_Titles" localSheetId="6">'Субвенции 24 -25'!$3:$4</definedName>
    <definedName name="_xlnm.Print_Titles" localSheetId="3">'Субсидии 2023'!$4:$5</definedName>
    <definedName name="_xlnm.Print_Titles" localSheetId="4">'Субсидии 24-25'!$4:$5</definedName>
    <definedName name="лист123" localSheetId="10">#REF!</definedName>
    <definedName name="лист123" localSheetId="1">#REF!</definedName>
    <definedName name="лист123" localSheetId="2">#REF!</definedName>
    <definedName name="лист123" localSheetId="7">#REF!</definedName>
    <definedName name="лист123" localSheetId="8">#REF!</definedName>
    <definedName name="лист123" localSheetId="0">#REF!</definedName>
    <definedName name="лист123" localSheetId="5">#REF!</definedName>
    <definedName name="лист123" localSheetId="3">#REF!</definedName>
    <definedName name="лист123">#REF!</definedName>
    <definedName name="новые_ОФ_2003" localSheetId="0">[1]рабочий!$F$305:$W$327</definedName>
    <definedName name="новые_ОФ_2003" localSheetId="3">[1]рабочий!$F$305:$W$327</definedName>
    <definedName name="новые_ОФ_2003">[1]рабочий!$F$305:$W$327</definedName>
    <definedName name="новые_ОФ_2004" localSheetId="0">[1]рабочий!$F$335:$W$357</definedName>
    <definedName name="новые_ОФ_2004" localSheetId="3">[1]рабочий!$F$335:$W$357</definedName>
    <definedName name="новые_ОФ_2004">[1]рабочий!$F$335:$W$357</definedName>
    <definedName name="новые_ОФ_а_всего" localSheetId="0">[1]рабочий!$F$767:$V$789</definedName>
    <definedName name="новые_ОФ_а_всего" localSheetId="3">[1]рабочий!$F$767:$V$789</definedName>
    <definedName name="новые_ОФ_а_всего">[1]рабочий!$F$767:$V$789</definedName>
    <definedName name="новые_ОФ_всего" localSheetId="0">[1]рабочий!$F$1331:$V$1353</definedName>
    <definedName name="новые_ОФ_всего" localSheetId="3">[1]рабочий!$F$1331:$V$1353</definedName>
    <definedName name="новые_ОФ_всего">[1]рабочий!$F$1331:$V$1353</definedName>
    <definedName name="новые_ОФ_п_всего" localSheetId="0">[1]рабочий!$F$1293:$V$1315</definedName>
    <definedName name="новые_ОФ_п_всего" localSheetId="3">[1]рабочий!$F$1293:$V$1315</definedName>
    <definedName name="новые_ОФ_п_всего">[1]рабочий!$F$1293:$V$1315</definedName>
    <definedName name="окраска_05" localSheetId="0">[1]окраска!$C$7:$Z$30</definedName>
    <definedName name="окраска_05" localSheetId="3">[1]окраска!$C$7:$Z$30</definedName>
    <definedName name="окраска_05">[1]окраска!$C$7:$Z$30</definedName>
    <definedName name="окраска_06" localSheetId="0">[1]окраска!$C$35:$Z$58</definedName>
    <definedName name="окраска_06" localSheetId="3">[1]окраска!$C$35:$Z$58</definedName>
    <definedName name="окраска_06">[1]окраска!$C$35:$Z$58</definedName>
    <definedName name="окраска_07" localSheetId="0">[1]окраска!$C$63:$Z$86</definedName>
    <definedName name="окраска_07" localSheetId="3">[1]окраска!$C$63:$Z$86</definedName>
    <definedName name="окраска_07">[1]окраска!$C$63:$Z$86</definedName>
    <definedName name="окраска_08" localSheetId="0">[1]окраска!$C$91:$Z$114</definedName>
    <definedName name="окраска_08" localSheetId="3">[1]окраска!$C$91:$Z$114</definedName>
    <definedName name="окраска_08">[1]окраска!$C$91:$Z$114</definedName>
    <definedName name="окраска_09" localSheetId="0">[1]окраска!$C$119:$Z$142</definedName>
    <definedName name="окраска_09" localSheetId="3">[1]окраска!$C$119:$Z$142</definedName>
    <definedName name="окраска_09">[1]окраска!$C$119:$Z$142</definedName>
    <definedName name="окраска_10" localSheetId="0">[1]окраска!$C$147:$Z$170</definedName>
    <definedName name="окраска_10" localSheetId="3">[1]окраска!$C$147:$Z$170</definedName>
    <definedName name="окраска_10">[1]окраска!$C$147:$Z$170</definedName>
    <definedName name="окраска_11" localSheetId="0">[1]окраска!$C$175:$Z$198</definedName>
    <definedName name="окраска_11" localSheetId="3">[1]окраска!$C$175:$Z$198</definedName>
    <definedName name="окраска_11">[1]окраска!$C$175:$Z$198</definedName>
    <definedName name="окраска_12" localSheetId="0">[1]окраска!$C$203:$Z$226</definedName>
    <definedName name="окраска_12" localSheetId="3">[1]окраска!$C$203:$Z$226</definedName>
    <definedName name="окраска_12">[1]окраска!$C$203:$Z$226</definedName>
    <definedName name="окраска_13" localSheetId="0">[1]окраска!$C$231:$Z$254</definedName>
    <definedName name="окраска_13" localSheetId="3">[1]окраска!$C$231:$Z$254</definedName>
    <definedName name="окраска_13">[1]окраска!$C$231:$Z$254</definedName>
    <definedName name="окраска_14" localSheetId="0">[1]окраска!$C$259:$Z$282</definedName>
    <definedName name="окраска_14" localSheetId="3">[1]окраска!$C$259:$Z$282</definedName>
    <definedName name="окраска_14">[1]окраска!$C$259:$Z$282</definedName>
    <definedName name="окраска_15" localSheetId="0">[1]окраска!$C$287:$Z$310</definedName>
    <definedName name="окраска_15" localSheetId="3">[1]окраска!$C$287:$Z$310</definedName>
    <definedName name="окраска_15">[1]окраска!$C$287:$Z$310</definedName>
    <definedName name="Отчёт_о_затратах_на_ликвидацию_по_техническим_работам__4_кв__1998__Ожидающие_сокращения_Таблица" localSheetId="10">#REF!</definedName>
    <definedName name="Отчёт_о_затратах_на_ликвидацию_по_техническим_работам__4_кв__1998__Ожидающие_сокращения_Таблица" localSheetId="2">#REF!</definedName>
    <definedName name="Отчёт_о_затратах_на_ликвидацию_по_техническим_работам__4_кв__1998__Ожидающие_сокращения_Таблица" localSheetId="8">#REF!</definedName>
    <definedName name="Отчёт_о_затратах_на_ликвидацию_по_техническим_работам__4_кв__1998__Ожидающие_сокращения_Таблица" localSheetId="0">#REF!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>#REF!</definedName>
    <definedName name="ОФ_а_с_пц" localSheetId="0">[1]рабочий!$CI$121:$CY$143</definedName>
    <definedName name="ОФ_а_с_пц" localSheetId="3">[1]рабочий!$CI$121:$CY$143</definedName>
    <definedName name="ОФ_а_с_пц">[1]рабочий!$CI$121:$CY$143</definedName>
    <definedName name="Прогноз_Вып_пц" localSheetId="0">[1]рабочий!$Y$240:$AP$262</definedName>
    <definedName name="Прогноз_Вып_пц" localSheetId="3">[1]рабочий!$Y$240:$AP$262</definedName>
    <definedName name="Прогноз_Вып_пц">[1]рабочий!$Y$240:$AP$262</definedName>
    <definedName name="фо_а_н_пц" localSheetId="0">[1]рабочий!$AR$240:$BI$263</definedName>
    <definedName name="фо_а_н_пц" localSheetId="3">[1]рабочий!$AR$240:$BI$263</definedName>
    <definedName name="фо_а_н_пц">[1]рабочий!$AR$240:$BI$263</definedName>
    <definedName name="фо_а_с_пц" localSheetId="0">[1]рабочий!$AS$202:$BI$224</definedName>
    <definedName name="фо_а_с_пц" localSheetId="3">[1]рабочий!$AS$202:$BI$224</definedName>
    <definedName name="фо_а_с_пц">[1]рабочий!$AS$202:$BI$224</definedName>
    <definedName name="фо_н_03" localSheetId="0">[1]рабочий!$X$305:$X$327</definedName>
    <definedName name="фо_н_03" localSheetId="3">[1]рабочий!$X$305:$X$327</definedName>
    <definedName name="фо_н_03">[1]рабочий!$X$305:$X$327</definedName>
    <definedName name="фо_н_04" localSheetId="0">[1]рабочий!$X$335:$X$357</definedName>
    <definedName name="фо_н_04" localSheetId="3">[1]рабочий!$X$335:$X$357</definedName>
    <definedName name="фо_н_04">[1]рабочий!$X$335:$X$357</definedName>
    <definedName name="я" localSheetId="10">#REF!</definedName>
    <definedName name="я" localSheetId="1">#REF!</definedName>
    <definedName name="я" localSheetId="2">#REF!</definedName>
    <definedName name="я" localSheetId="7">#REF!</definedName>
    <definedName name="я" localSheetId="8">#REF!</definedName>
    <definedName name="я" localSheetId="0">#REF!</definedName>
    <definedName name="я" localSheetId="5">#REF!</definedName>
    <definedName name="я" localSheetId="3">#REF!</definedName>
    <definedName name="я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5" i="12" l="1"/>
  <c r="B26" i="22" l="1"/>
  <c r="D56" i="16" l="1"/>
  <c r="N19" i="16"/>
  <c r="M19" i="16"/>
  <c r="I19" i="16"/>
  <c r="H19" i="16"/>
  <c r="D19" i="16"/>
  <c r="L25" i="16"/>
  <c r="J25" i="16"/>
  <c r="G25" i="16"/>
  <c r="B25" i="16"/>
  <c r="O25" i="16" l="1"/>
  <c r="E25" i="16"/>
  <c r="D38" i="16" l="1"/>
  <c r="O41" i="16"/>
  <c r="J41" i="16"/>
  <c r="E41" i="16"/>
  <c r="B16" i="22" l="1"/>
  <c r="D16" i="16" l="1"/>
  <c r="D14" i="16"/>
  <c r="D12" i="16"/>
  <c r="D9" i="16"/>
  <c r="B40" i="22" l="1"/>
  <c r="B47" i="22"/>
  <c r="F51" i="5" l="1"/>
  <c r="G33" i="12" l="1"/>
  <c r="G34" i="12"/>
  <c r="F34" i="12"/>
  <c r="B30" i="22" l="1"/>
  <c r="F27" i="5" l="1"/>
  <c r="G50" i="5"/>
  <c r="F25" i="5" l="1"/>
  <c r="F6" i="4"/>
  <c r="F5" i="4"/>
  <c r="E49" i="5"/>
  <c r="E40" i="5"/>
  <c r="E30" i="5"/>
  <c r="E29" i="5"/>
  <c r="E14" i="5"/>
  <c r="E13" i="5"/>
  <c r="E12" i="5"/>
  <c r="E11" i="5"/>
  <c r="F36" i="12"/>
  <c r="F35" i="12"/>
  <c r="F33" i="12"/>
  <c r="F31" i="12"/>
  <c r="F30" i="12"/>
  <c r="F29" i="12"/>
  <c r="F8" i="12"/>
  <c r="C69" i="16"/>
  <c r="C63" i="16"/>
  <c r="C60" i="16"/>
  <c r="C57" i="16"/>
  <c r="C50" i="16"/>
  <c r="C48" i="16"/>
  <c r="C44" i="16"/>
  <c r="C38" i="16"/>
  <c r="C35" i="16"/>
  <c r="C28" i="16"/>
  <c r="G31" i="12" l="1"/>
  <c r="G30" i="12"/>
  <c r="G29" i="12"/>
  <c r="D43" i="22" l="1"/>
  <c r="C43" i="22"/>
  <c r="B43" i="22"/>
  <c r="D35" i="22"/>
  <c r="C35" i="22"/>
  <c r="D19" i="22"/>
  <c r="C19" i="22"/>
  <c r="B19" i="22"/>
  <c r="D14" i="22"/>
  <c r="C14" i="22"/>
  <c r="D7" i="22"/>
  <c r="C7" i="22"/>
  <c r="B7" i="22"/>
  <c r="B14" i="22" l="1"/>
  <c r="B35" i="22"/>
  <c r="C50" i="22"/>
  <c r="D50" i="22"/>
  <c r="G6" i="4"/>
  <c r="F30" i="5"/>
  <c r="F40" i="5"/>
  <c r="F49" i="5"/>
  <c r="F13" i="5"/>
  <c r="F14" i="5"/>
  <c r="G8" i="12"/>
  <c r="B50" i="22" l="1"/>
  <c r="H7" i="4"/>
  <c r="H48" i="12" l="1"/>
  <c r="M69" i="16" l="1"/>
  <c r="M63" i="16"/>
  <c r="M60" i="16"/>
  <c r="M57" i="16"/>
  <c r="M50" i="16"/>
  <c r="M48" i="16"/>
  <c r="M44" i="16"/>
  <c r="M38" i="16"/>
  <c r="M35" i="16"/>
  <c r="M28" i="16"/>
  <c r="H69" i="16"/>
  <c r="H63" i="16"/>
  <c r="H60" i="16"/>
  <c r="H57" i="16"/>
  <c r="H50" i="16"/>
  <c r="H48" i="16"/>
  <c r="H44" i="16"/>
  <c r="H38" i="16"/>
  <c r="H35" i="16"/>
  <c r="H28" i="16"/>
  <c r="H26" i="16" l="1"/>
  <c r="C26" i="16"/>
  <c r="M26" i="16"/>
  <c r="N48" i="16"/>
  <c r="O48" i="16" s="1"/>
  <c r="I48" i="16"/>
  <c r="D48" i="16"/>
  <c r="O49" i="16"/>
  <c r="J49" i="16"/>
  <c r="E49" i="16"/>
  <c r="O37" i="16"/>
  <c r="J37" i="16"/>
  <c r="E37" i="16"/>
  <c r="D35" i="16"/>
  <c r="J48" i="16" l="1"/>
  <c r="E48" i="16"/>
  <c r="M6" i="2" l="1"/>
  <c r="M54" i="2"/>
  <c r="L53" i="2"/>
  <c r="G35" i="12" l="1"/>
  <c r="O70" i="16" l="1"/>
  <c r="O68" i="16"/>
  <c r="O67" i="16"/>
  <c r="O66" i="16"/>
  <c r="O65" i="16"/>
  <c r="O64" i="16"/>
  <c r="O62" i="16"/>
  <c r="O61" i="16"/>
  <c r="O59" i="16"/>
  <c r="O58" i="16"/>
  <c r="O56" i="16"/>
  <c r="O55" i="16"/>
  <c r="O54" i="16"/>
  <c r="O53" i="16"/>
  <c r="O52" i="16"/>
  <c r="O51" i="16"/>
  <c r="O47" i="16"/>
  <c r="O46" i="16"/>
  <c r="O45" i="16"/>
  <c r="O43" i="16"/>
  <c r="O42" i="16"/>
  <c r="O40" i="16"/>
  <c r="O39" i="16"/>
  <c r="O36" i="16"/>
  <c r="O34" i="16"/>
  <c r="O33" i="16"/>
  <c r="O32" i="16"/>
  <c r="O31" i="16"/>
  <c r="O30" i="16"/>
  <c r="O29" i="16"/>
  <c r="J70" i="16"/>
  <c r="J68" i="16"/>
  <c r="J67" i="16"/>
  <c r="J66" i="16"/>
  <c r="J65" i="16"/>
  <c r="J64" i="16"/>
  <c r="J62" i="16"/>
  <c r="J61" i="16"/>
  <c r="J59" i="16"/>
  <c r="J58" i="16"/>
  <c r="J56" i="16"/>
  <c r="J55" i="16"/>
  <c r="J54" i="16"/>
  <c r="J53" i="16"/>
  <c r="J52" i="16"/>
  <c r="J51" i="16"/>
  <c r="J47" i="16"/>
  <c r="J46" i="16"/>
  <c r="J45" i="16"/>
  <c r="J43" i="16"/>
  <c r="J42" i="16"/>
  <c r="J40" i="16"/>
  <c r="J39" i="16"/>
  <c r="J36" i="16"/>
  <c r="J34" i="16"/>
  <c r="J33" i="16"/>
  <c r="J32" i="16"/>
  <c r="J31" i="16"/>
  <c r="J30" i="16"/>
  <c r="J29" i="16"/>
  <c r="E70" i="16"/>
  <c r="E68" i="16"/>
  <c r="E67" i="16"/>
  <c r="E66" i="16"/>
  <c r="E65" i="16"/>
  <c r="E64" i="16"/>
  <c r="E62" i="16"/>
  <c r="E61" i="16"/>
  <c r="E59" i="16"/>
  <c r="E58" i="16"/>
  <c r="E56" i="16"/>
  <c r="E55" i="16"/>
  <c r="E54" i="16"/>
  <c r="E53" i="16"/>
  <c r="E52" i="16"/>
  <c r="E51" i="16"/>
  <c r="E47" i="16"/>
  <c r="E46" i="16"/>
  <c r="E45" i="16"/>
  <c r="E43" i="16"/>
  <c r="E42" i="16"/>
  <c r="E40" i="16"/>
  <c r="E39" i="16"/>
  <c r="E36" i="16"/>
  <c r="E34" i="16"/>
  <c r="E33" i="16"/>
  <c r="E32" i="16"/>
  <c r="E31" i="16"/>
  <c r="E30" i="16"/>
  <c r="E29" i="16"/>
  <c r="O18" i="16"/>
  <c r="O17" i="16"/>
  <c r="O16" i="16"/>
  <c r="O15" i="16"/>
  <c r="O14" i="16"/>
  <c r="O13" i="16"/>
  <c r="O12" i="16"/>
  <c r="O11" i="16"/>
  <c r="O10" i="16"/>
  <c r="O9" i="16"/>
  <c r="J18" i="16"/>
  <c r="J17" i="16"/>
  <c r="J16" i="16"/>
  <c r="J15" i="16"/>
  <c r="J14" i="16"/>
  <c r="J13" i="16"/>
  <c r="J12" i="16"/>
  <c r="J11" i="16"/>
  <c r="J10" i="16"/>
  <c r="J9" i="16"/>
  <c r="E18" i="16"/>
  <c r="E17" i="16"/>
  <c r="E16" i="16"/>
  <c r="E15" i="16"/>
  <c r="E14" i="16"/>
  <c r="E13" i="16"/>
  <c r="E12" i="16"/>
  <c r="E11" i="16"/>
  <c r="E10" i="16"/>
  <c r="E9" i="16"/>
  <c r="Q12" i="18" l="1"/>
  <c r="Q11" i="18"/>
  <c r="Q10" i="18"/>
  <c r="Q9" i="18"/>
  <c r="Q8" i="18"/>
  <c r="Q7" i="18"/>
  <c r="Q6" i="18"/>
  <c r="Q5" i="18"/>
  <c r="L12" i="18"/>
  <c r="L11" i="18"/>
  <c r="L10" i="18"/>
  <c r="L9" i="18"/>
  <c r="L8" i="18"/>
  <c r="L7" i="18"/>
  <c r="L6" i="18"/>
  <c r="L5" i="18"/>
  <c r="G12" i="18"/>
  <c r="G11" i="18"/>
  <c r="G10" i="18"/>
  <c r="G9" i="18"/>
  <c r="G8" i="18"/>
  <c r="G7" i="18"/>
  <c r="G6" i="18"/>
  <c r="G5" i="18"/>
  <c r="O13" i="18"/>
  <c r="J13" i="18"/>
  <c r="E13" i="18"/>
  <c r="K21" i="11"/>
  <c r="K19" i="11"/>
  <c r="K17" i="11"/>
  <c r="K9" i="11"/>
  <c r="K14" i="11" s="1"/>
  <c r="F21" i="11"/>
  <c r="F19" i="11"/>
  <c r="F17" i="11"/>
  <c r="F9" i="11"/>
  <c r="F14" i="11" s="1"/>
  <c r="E25" i="4"/>
  <c r="E23" i="4"/>
  <c r="E21" i="4"/>
  <c r="E9" i="4"/>
  <c r="E16" i="4" s="1"/>
  <c r="O6" i="19"/>
  <c r="J6" i="19"/>
  <c r="E6" i="19"/>
  <c r="M19" i="19"/>
  <c r="M21" i="16" s="1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19" i="19"/>
  <c r="H21" i="16" s="1"/>
  <c r="C19" i="19"/>
  <c r="C21" i="16" s="1"/>
  <c r="O6" i="6"/>
  <c r="J6" i="6"/>
  <c r="E6" i="6"/>
  <c r="M19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19" i="6"/>
  <c r="C19" i="6"/>
  <c r="M8" i="16"/>
  <c r="H8" i="16"/>
  <c r="E35" i="16"/>
  <c r="C8" i="16"/>
  <c r="K23" i="11" l="1"/>
  <c r="K24" i="11" s="1"/>
  <c r="E27" i="4"/>
  <c r="E28" i="4"/>
  <c r="H24" i="16"/>
  <c r="F23" i="11"/>
  <c r="F24" i="11" s="1"/>
  <c r="F12" i="5"/>
  <c r="F11" i="5"/>
  <c r="F29" i="5" l="1"/>
  <c r="H43" i="12" l="1"/>
  <c r="H42" i="12"/>
  <c r="H45" i="12" l="1"/>
  <c r="H46" i="12"/>
  <c r="H47" i="12"/>
  <c r="H49" i="12"/>
  <c r="K54" i="7" l="1"/>
  <c r="N23" i="16" s="1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L5" i="7"/>
  <c r="F54" i="7"/>
  <c r="I23" i="16" s="1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" i="7"/>
  <c r="M6" i="11" l="1"/>
  <c r="G6" i="11"/>
  <c r="H6" i="11" s="1"/>
  <c r="G5" i="4"/>
  <c r="F52" i="5" l="1"/>
  <c r="D23" i="16" s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1" i="5"/>
  <c r="G6" i="5"/>
  <c r="G7" i="5"/>
  <c r="G8" i="5"/>
  <c r="G9" i="5"/>
  <c r="G10" i="5"/>
  <c r="G11" i="5"/>
  <c r="G12" i="5"/>
  <c r="G13" i="5"/>
  <c r="G5" i="5"/>
  <c r="F106" i="12" l="1"/>
  <c r="H26" i="12"/>
  <c r="M9" i="11"/>
  <c r="G9" i="11"/>
  <c r="G9" i="4"/>
  <c r="H6" i="4"/>
  <c r="H8" i="4"/>
  <c r="H5" i="4"/>
  <c r="N7" i="11"/>
  <c r="H7" i="11"/>
  <c r="H9" i="11" s="1"/>
  <c r="N6" i="11"/>
  <c r="N9" i="11" s="1"/>
  <c r="L60" i="2"/>
  <c r="N22" i="16" s="1"/>
  <c r="K60" i="2"/>
  <c r="M22" i="16" s="1"/>
  <c r="G60" i="2"/>
  <c r="I22" i="16" s="1"/>
  <c r="F60" i="2"/>
  <c r="H22" i="16" s="1"/>
  <c r="M59" i="2"/>
  <c r="H59" i="2"/>
  <c r="H18" i="2"/>
  <c r="M7" i="2"/>
  <c r="M8" i="2"/>
  <c r="M9" i="2"/>
  <c r="M10" i="2"/>
  <c r="M11" i="2"/>
  <c r="M12" i="2"/>
  <c r="M13" i="2"/>
  <c r="M14" i="2"/>
  <c r="M15" i="2"/>
  <c r="M16" i="2"/>
  <c r="M17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5" i="2"/>
  <c r="M56" i="2"/>
  <c r="M57" i="2"/>
  <c r="M58" i="2"/>
  <c r="H7" i="2"/>
  <c r="H8" i="2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6" i="2"/>
  <c r="H35" i="12"/>
  <c r="H44" i="12"/>
  <c r="H17" i="12"/>
  <c r="H20" i="12"/>
  <c r="H22" i="12"/>
  <c r="H27" i="12"/>
  <c r="H41" i="12"/>
  <c r="G36" i="12"/>
  <c r="H36" i="12" s="1"/>
  <c r="H100" i="12"/>
  <c r="H101" i="12"/>
  <c r="H102" i="12"/>
  <c r="H103" i="12"/>
  <c r="H104" i="12"/>
  <c r="H99" i="12"/>
  <c r="G106" i="12"/>
  <c r="H7" i="12"/>
  <c r="H8" i="12"/>
  <c r="H9" i="12"/>
  <c r="H10" i="12"/>
  <c r="H11" i="12"/>
  <c r="H12" i="12"/>
  <c r="H13" i="12"/>
  <c r="H14" i="12"/>
  <c r="H15" i="12"/>
  <c r="H16" i="12"/>
  <c r="H18" i="12"/>
  <c r="H19" i="12"/>
  <c r="H21" i="12"/>
  <c r="H23" i="12"/>
  <c r="H24" i="12"/>
  <c r="H25" i="12"/>
  <c r="H28" i="12"/>
  <c r="H29" i="12"/>
  <c r="H30" i="12"/>
  <c r="H31" i="12"/>
  <c r="H32" i="12"/>
  <c r="H37" i="12"/>
  <c r="H38" i="12"/>
  <c r="H39" i="12"/>
  <c r="H40" i="12"/>
  <c r="H6" i="12"/>
  <c r="H60" i="2" l="1"/>
  <c r="H9" i="4"/>
  <c r="O22" i="16"/>
  <c r="J22" i="16"/>
  <c r="M60" i="2"/>
  <c r="H105" i="12"/>
  <c r="H106" i="12" s="1"/>
  <c r="G50" i="12"/>
  <c r="D22" i="16" s="1"/>
  <c r="N69" i="16" l="1"/>
  <c r="O69" i="16" s="1"/>
  <c r="N63" i="16"/>
  <c r="O63" i="16" s="1"/>
  <c r="N60" i="16"/>
  <c r="O60" i="16" s="1"/>
  <c r="N57" i="16"/>
  <c r="O57" i="16" s="1"/>
  <c r="N50" i="16"/>
  <c r="N44" i="16"/>
  <c r="N38" i="16"/>
  <c r="O38" i="16" s="1"/>
  <c r="N35" i="16"/>
  <c r="O35" i="16" s="1"/>
  <c r="N28" i="16"/>
  <c r="O28" i="16" s="1"/>
  <c r="I69" i="16"/>
  <c r="J69" i="16" s="1"/>
  <c r="I63" i="16"/>
  <c r="J63" i="16" s="1"/>
  <c r="I60" i="16"/>
  <c r="J60" i="16" s="1"/>
  <c r="I57" i="16"/>
  <c r="J57" i="16" s="1"/>
  <c r="I50" i="16"/>
  <c r="I44" i="16"/>
  <c r="J44" i="16" s="1"/>
  <c r="I38" i="16"/>
  <c r="J38" i="16" s="1"/>
  <c r="I35" i="16"/>
  <c r="J35" i="16" s="1"/>
  <c r="I28" i="16"/>
  <c r="O50" i="16" l="1"/>
  <c r="N26" i="16"/>
  <c r="O44" i="16"/>
  <c r="J50" i="16"/>
  <c r="I26" i="16"/>
  <c r="J28" i="16"/>
  <c r="I8" i="16"/>
  <c r="J8" i="16" s="1"/>
  <c r="D8" i="16"/>
  <c r="E8" i="16" s="1"/>
  <c r="O26" i="16" l="1"/>
  <c r="J26" i="16"/>
  <c r="H34" i="12"/>
  <c r="F50" i="12" l="1"/>
  <c r="C22" i="16" s="1"/>
  <c r="C19" i="16" s="1"/>
  <c r="H33" i="12"/>
  <c r="H50" i="12" s="1"/>
  <c r="G21" i="16"/>
  <c r="L21" i="16"/>
  <c r="B21" i="16"/>
  <c r="E22" i="16" l="1"/>
  <c r="K62" i="2"/>
  <c r="J60" i="2"/>
  <c r="E60" i="2"/>
  <c r="E106" i="12"/>
  <c r="J43" i="19" l="1"/>
  <c r="I43" i="19"/>
  <c r="G43" i="19"/>
  <c r="J42" i="19"/>
  <c r="I42" i="19"/>
  <c r="G42" i="19"/>
  <c r="J41" i="19"/>
  <c r="I41" i="19"/>
  <c r="G41" i="19"/>
  <c r="J40" i="19"/>
  <c r="I40" i="19"/>
  <c r="G40" i="19"/>
  <c r="J39" i="19"/>
  <c r="I39" i="19"/>
  <c r="G39" i="19"/>
  <c r="J38" i="19"/>
  <c r="I38" i="19"/>
  <c r="G38" i="19"/>
  <c r="J37" i="19"/>
  <c r="I37" i="19"/>
  <c r="G37" i="19"/>
  <c r="J36" i="19"/>
  <c r="I36" i="19"/>
  <c r="G36" i="19"/>
  <c r="J35" i="19"/>
  <c r="I35" i="19"/>
  <c r="G35" i="19"/>
  <c r="J34" i="19"/>
  <c r="I34" i="19"/>
  <c r="G34" i="19"/>
  <c r="J33" i="19"/>
  <c r="I33" i="19"/>
  <c r="G33" i="19"/>
  <c r="J32" i="19"/>
  <c r="I32" i="19"/>
  <c r="G32" i="19"/>
  <c r="J31" i="19"/>
  <c r="I31" i="19"/>
  <c r="G31" i="19"/>
  <c r="N19" i="19"/>
  <c r="N21" i="16" s="1"/>
  <c r="O21" i="16" s="1"/>
  <c r="L19" i="19"/>
  <c r="I19" i="19"/>
  <c r="I21" i="16" s="1"/>
  <c r="J21" i="16" s="1"/>
  <c r="G19" i="19"/>
  <c r="D19" i="19"/>
  <c r="D21" i="16" s="1"/>
  <c r="E21" i="16" s="1"/>
  <c r="B19" i="19"/>
  <c r="O18" i="19"/>
  <c r="J18" i="19"/>
  <c r="E18" i="19"/>
  <c r="O17" i="19"/>
  <c r="J17" i="19"/>
  <c r="E17" i="19"/>
  <c r="O16" i="19"/>
  <c r="J16" i="19"/>
  <c r="E16" i="19"/>
  <c r="O15" i="19"/>
  <c r="J15" i="19"/>
  <c r="E15" i="19"/>
  <c r="O14" i="19"/>
  <c r="J14" i="19"/>
  <c r="E14" i="19"/>
  <c r="O13" i="19"/>
  <c r="J13" i="19"/>
  <c r="E13" i="19"/>
  <c r="O12" i="19"/>
  <c r="J12" i="19"/>
  <c r="E12" i="19"/>
  <c r="O11" i="19"/>
  <c r="J11" i="19"/>
  <c r="E11" i="19"/>
  <c r="O10" i="19"/>
  <c r="J10" i="19"/>
  <c r="E10" i="19"/>
  <c r="O9" i="19"/>
  <c r="J9" i="19"/>
  <c r="E9" i="19"/>
  <c r="O8" i="19"/>
  <c r="J8" i="19"/>
  <c r="J19" i="19" s="1"/>
  <c r="E8" i="19"/>
  <c r="O7" i="19"/>
  <c r="J7" i="19"/>
  <c r="E7" i="19"/>
  <c r="E19" i="19" l="1"/>
  <c r="O19" i="19"/>
  <c r="E50" i="12" l="1"/>
  <c r="F9" i="4" l="1"/>
  <c r="C24" i="16" s="1"/>
  <c r="D9" i="4"/>
  <c r="D52" i="5"/>
  <c r="J54" i="7"/>
  <c r="I54" i="7"/>
  <c r="E54" i="7"/>
  <c r="D54" i="7"/>
  <c r="E52" i="5"/>
  <c r="M23" i="16" l="1"/>
  <c r="L54" i="7"/>
  <c r="G54" i="7"/>
  <c r="H23" i="16"/>
  <c r="G52" i="5"/>
  <c r="C23" i="16"/>
  <c r="L42" i="16"/>
  <c r="G42" i="16"/>
  <c r="B42" i="16"/>
  <c r="O23" i="16" l="1"/>
  <c r="J23" i="16"/>
  <c r="H6" i="16"/>
  <c r="H72" i="16" s="1"/>
  <c r="E23" i="16"/>
  <c r="C6" i="16"/>
  <c r="C72" i="16" s="1"/>
  <c r="L69" i="16"/>
  <c r="G69" i="16"/>
  <c r="D69" i="16"/>
  <c r="E69" i="16" s="1"/>
  <c r="B69" i="16"/>
  <c r="L63" i="16"/>
  <c r="G63" i="16"/>
  <c r="D63" i="16"/>
  <c r="E63" i="16" s="1"/>
  <c r="B63" i="16"/>
  <c r="L60" i="16"/>
  <c r="G60" i="16"/>
  <c r="D60" i="16"/>
  <c r="E60" i="16" s="1"/>
  <c r="B60" i="16"/>
  <c r="L57" i="16"/>
  <c r="G57" i="16"/>
  <c r="D57" i="16"/>
  <c r="E57" i="16" s="1"/>
  <c r="B57" i="16"/>
  <c r="L50" i="16"/>
  <c r="L48" i="16" s="1"/>
  <c r="G50" i="16"/>
  <c r="G48" i="16" s="1"/>
  <c r="D50" i="16"/>
  <c r="B50" i="16"/>
  <c r="B48" i="16" s="1"/>
  <c r="L44" i="16"/>
  <c r="G44" i="16"/>
  <c r="D44" i="16"/>
  <c r="E44" i="16" s="1"/>
  <c r="B44" i="16"/>
  <c r="L38" i="16"/>
  <c r="G38" i="16"/>
  <c r="E38" i="16"/>
  <c r="B38" i="16"/>
  <c r="L35" i="16"/>
  <c r="G35" i="16"/>
  <c r="B35" i="16"/>
  <c r="L28" i="16"/>
  <c r="G28" i="16"/>
  <c r="D28" i="16"/>
  <c r="B28" i="16"/>
  <c r="E28" i="16" l="1"/>
  <c r="D26" i="16"/>
  <c r="E50" i="16"/>
  <c r="B26" i="16"/>
  <c r="G26" i="16"/>
  <c r="L26" i="16"/>
  <c r="E26" i="16" l="1"/>
  <c r="N8" i="16"/>
  <c r="O8" i="16" s="1"/>
  <c r="L8" i="16"/>
  <c r="P13" i="18" l="1"/>
  <c r="N13" i="18"/>
  <c r="K13" i="18"/>
  <c r="F13" i="18"/>
  <c r="G13" i="18" l="1"/>
  <c r="D24" i="16"/>
  <c r="E24" i="16" s="1"/>
  <c r="L13" i="18"/>
  <c r="I24" i="16"/>
  <c r="J24" i="16" s="1"/>
  <c r="Q13" i="18"/>
  <c r="N24" i="16"/>
  <c r="J21" i="11"/>
  <c r="J19" i="11"/>
  <c r="J17" i="11"/>
  <c r="J9" i="11"/>
  <c r="L21" i="11"/>
  <c r="L19" i="11"/>
  <c r="L17" i="11"/>
  <c r="L9" i="11"/>
  <c r="M24" i="16" s="1"/>
  <c r="D21" i="11"/>
  <c r="D19" i="11"/>
  <c r="D17" i="11"/>
  <c r="D9" i="11"/>
  <c r="E21" i="11"/>
  <c r="E19" i="11"/>
  <c r="E17" i="11"/>
  <c r="E9" i="11"/>
  <c r="D25" i="4"/>
  <c r="D23" i="4"/>
  <c r="D21" i="4"/>
  <c r="F25" i="4"/>
  <c r="F23" i="4"/>
  <c r="F21" i="4"/>
  <c r="O24" i="16" l="1"/>
  <c r="M6" i="16"/>
  <c r="M72" i="16" s="1"/>
  <c r="D16" i="4"/>
  <c r="D27" i="4"/>
  <c r="D28" i="4" s="1"/>
  <c r="E14" i="11"/>
  <c r="D14" i="11"/>
  <c r="L14" i="11"/>
  <c r="J14" i="11"/>
  <c r="L24" i="16"/>
  <c r="D23" i="11"/>
  <c r="D24" i="11" s="1"/>
  <c r="J23" i="11"/>
  <c r="J24" i="11" s="1"/>
  <c r="F27" i="4"/>
  <c r="F28" i="4" s="1"/>
  <c r="L23" i="11"/>
  <c r="L24" i="11" s="1"/>
  <c r="F16" i="4"/>
  <c r="E23" i="11"/>
  <c r="E24" i="11" s="1"/>
  <c r="I87" i="7"/>
  <c r="I85" i="7"/>
  <c r="I84" i="7"/>
  <c r="I82" i="7"/>
  <c r="I81" i="7"/>
  <c r="I80" i="7"/>
  <c r="I79" i="7"/>
  <c r="I78" i="7"/>
  <c r="I76" i="7"/>
  <c r="I75" i="7"/>
  <c r="I73" i="7"/>
  <c r="I72" i="7"/>
  <c r="I71" i="7"/>
  <c r="I69" i="7"/>
  <c r="I68" i="7"/>
  <c r="I67" i="7"/>
  <c r="I66" i="7"/>
  <c r="I65" i="7"/>
  <c r="J87" i="7"/>
  <c r="J85" i="7"/>
  <c r="J84" i="7"/>
  <c r="J82" i="7"/>
  <c r="J81" i="7"/>
  <c r="J80" i="7"/>
  <c r="J79" i="7"/>
  <c r="J78" i="7"/>
  <c r="J76" i="7"/>
  <c r="J75" i="7"/>
  <c r="J73" i="7"/>
  <c r="J72" i="7"/>
  <c r="J71" i="7"/>
  <c r="J69" i="7"/>
  <c r="J68" i="7"/>
  <c r="J67" i="7"/>
  <c r="J66" i="7"/>
  <c r="J65" i="7"/>
  <c r="D87" i="7"/>
  <c r="D85" i="7"/>
  <c r="D84" i="7"/>
  <c r="D82" i="7"/>
  <c r="D81" i="7"/>
  <c r="D80" i="7"/>
  <c r="D79" i="7"/>
  <c r="D78" i="7"/>
  <c r="D76" i="7"/>
  <c r="D75" i="7"/>
  <c r="D73" i="7"/>
  <c r="D72" i="7"/>
  <c r="D71" i="7"/>
  <c r="D69" i="7"/>
  <c r="D68" i="7"/>
  <c r="D67" i="7"/>
  <c r="D66" i="7"/>
  <c r="D65" i="7"/>
  <c r="E87" i="7"/>
  <c r="E85" i="7"/>
  <c r="E84" i="7"/>
  <c r="E82" i="7"/>
  <c r="E81" i="7"/>
  <c r="E80" i="7"/>
  <c r="E79" i="7"/>
  <c r="E78" i="7"/>
  <c r="E76" i="7"/>
  <c r="E75" i="7"/>
  <c r="E73" i="7"/>
  <c r="E72" i="7"/>
  <c r="E71" i="7"/>
  <c r="E69" i="7"/>
  <c r="E68" i="7"/>
  <c r="E67" i="7"/>
  <c r="E66" i="7"/>
  <c r="E65" i="7"/>
  <c r="K108" i="2"/>
  <c r="J108" i="2"/>
  <c r="F108" i="2"/>
  <c r="E108" i="2"/>
  <c r="E85" i="5"/>
  <c r="E83" i="5"/>
  <c r="E82" i="5"/>
  <c r="E80" i="5"/>
  <c r="E79" i="5"/>
  <c r="E78" i="5"/>
  <c r="E77" i="5"/>
  <c r="E76" i="5"/>
  <c r="E74" i="5"/>
  <c r="E73" i="5"/>
  <c r="E71" i="5"/>
  <c r="E70" i="5"/>
  <c r="E69" i="5"/>
  <c r="E67" i="5"/>
  <c r="E66" i="5"/>
  <c r="E65" i="5"/>
  <c r="E64" i="5"/>
  <c r="E63" i="5"/>
  <c r="D85" i="5"/>
  <c r="D83" i="5"/>
  <c r="D82" i="5"/>
  <c r="D80" i="5"/>
  <c r="D79" i="5"/>
  <c r="D78" i="5"/>
  <c r="D77" i="5"/>
  <c r="D76" i="5"/>
  <c r="D74" i="5"/>
  <c r="D73" i="5"/>
  <c r="D71" i="5"/>
  <c r="D70" i="5"/>
  <c r="D69" i="5"/>
  <c r="D67" i="5"/>
  <c r="D66" i="5"/>
  <c r="D65" i="5"/>
  <c r="D64" i="5"/>
  <c r="D63" i="5"/>
  <c r="D61" i="7" l="1"/>
  <c r="G23" i="16"/>
  <c r="E61" i="7"/>
  <c r="E60" i="5"/>
  <c r="I61" i="7"/>
  <c r="L23" i="16"/>
  <c r="D60" i="5"/>
  <c r="B23" i="16"/>
  <c r="J61" i="7"/>
  <c r="D87" i="5"/>
  <c r="D88" i="5" s="1"/>
  <c r="D89" i="7"/>
  <c r="D90" i="7" s="1"/>
  <c r="D97" i="7"/>
  <c r="E97" i="7"/>
  <c r="I89" i="7"/>
  <c r="I90" i="7" s="1"/>
  <c r="I97" i="7"/>
  <c r="J97" i="7"/>
  <c r="J89" i="7"/>
  <c r="J90" i="7" s="1"/>
  <c r="E89" i="7"/>
  <c r="E90" i="7" s="1"/>
  <c r="D92" i="5"/>
  <c r="E92" i="5"/>
  <c r="H108" i="2"/>
  <c r="M108" i="2"/>
  <c r="E87" i="5"/>
  <c r="E88" i="5" s="1"/>
  <c r="H79" i="2"/>
  <c r="H85" i="2"/>
  <c r="H83" i="2"/>
  <c r="H72" i="2"/>
  <c r="H74" i="2"/>
  <c r="H90" i="2"/>
  <c r="H89" i="2"/>
  <c r="H82" i="2"/>
  <c r="K91" i="2"/>
  <c r="K90" i="2"/>
  <c r="K89" i="2"/>
  <c r="K88" i="2"/>
  <c r="K85" i="2"/>
  <c r="K83" i="2"/>
  <c r="K82" i="2"/>
  <c r="K80" i="2"/>
  <c r="K79" i="2"/>
  <c r="K75" i="2"/>
  <c r="K74" i="2"/>
  <c r="K72" i="2"/>
  <c r="J91" i="2"/>
  <c r="J90" i="2"/>
  <c r="J89" i="2"/>
  <c r="J88" i="2"/>
  <c r="J85" i="2"/>
  <c r="J83" i="2"/>
  <c r="J82" i="2"/>
  <c r="J80" i="2"/>
  <c r="J79" i="2"/>
  <c r="J75" i="2"/>
  <c r="J74" i="2"/>
  <c r="J72" i="2"/>
  <c r="L22" i="16"/>
  <c r="E91" i="2"/>
  <c r="E90" i="2"/>
  <c r="E89" i="2"/>
  <c r="E88" i="2"/>
  <c r="E85" i="2"/>
  <c r="E83" i="2"/>
  <c r="E82" i="2"/>
  <c r="E80" i="2"/>
  <c r="E79" i="2"/>
  <c r="E75" i="2"/>
  <c r="E74" i="2"/>
  <c r="E72" i="2"/>
  <c r="G22" i="16"/>
  <c r="O19" i="16" l="1"/>
  <c r="L19" i="16"/>
  <c r="L6" i="16" s="1"/>
  <c r="L72" i="16" s="1"/>
  <c r="H88" i="2"/>
  <c r="E93" i="2"/>
  <c r="E94" i="2" s="1"/>
  <c r="E67" i="2"/>
  <c r="E99" i="2"/>
  <c r="J67" i="2"/>
  <c r="J99" i="2"/>
  <c r="K93" i="2"/>
  <c r="K94" i="2" s="1"/>
  <c r="K67" i="2"/>
  <c r="K99" i="2"/>
  <c r="H80" i="2"/>
  <c r="H91" i="2"/>
  <c r="H75" i="2"/>
  <c r="J93" i="2"/>
  <c r="J94" i="2" s="1"/>
  <c r="N6" i="16" l="1"/>
  <c r="O6" i="16" s="1"/>
  <c r="H93" i="2"/>
  <c r="H94" i="2" s="1"/>
  <c r="N72" i="16" l="1"/>
  <c r="O72" i="16" s="1"/>
  <c r="E82" i="12" l="1"/>
  <c r="E80" i="12"/>
  <c r="E79" i="12"/>
  <c r="E77" i="12"/>
  <c r="E76" i="12"/>
  <c r="E74" i="12"/>
  <c r="E73" i="12"/>
  <c r="E71" i="12"/>
  <c r="E70" i="12"/>
  <c r="E69" i="12"/>
  <c r="E67" i="12"/>
  <c r="E66" i="12"/>
  <c r="E63" i="12"/>
  <c r="E65" i="12"/>
  <c r="F82" i="12"/>
  <c r="F81" i="12"/>
  <c r="F80" i="12"/>
  <c r="F79" i="12"/>
  <c r="F77" i="12"/>
  <c r="F76" i="12"/>
  <c r="F74" i="12"/>
  <c r="F73" i="12"/>
  <c r="F70" i="12"/>
  <c r="F69" i="12"/>
  <c r="F67" i="12"/>
  <c r="F66" i="12"/>
  <c r="F65" i="12"/>
  <c r="F63" i="12"/>
  <c r="J32" i="6"/>
  <c r="J33" i="6"/>
  <c r="J34" i="6"/>
  <c r="J35" i="6"/>
  <c r="J36" i="6"/>
  <c r="J37" i="6"/>
  <c r="J38" i="6"/>
  <c r="J39" i="6"/>
  <c r="J40" i="6"/>
  <c r="J41" i="6"/>
  <c r="J42" i="6"/>
  <c r="J43" i="6"/>
  <c r="J31" i="6"/>
  <c r="I32" i="6"/>
  <c r="I33" i="6"/>
  <c r="I34" i="6"/>
  <c r="I35" i="6"/>
  <c r="I36" i="6"/>
  <c r="I37" i="6"/>
  <c r="I38" i="6"/>
  <c r="I39" i="6"/>
  <c r="I40" i="6"/>
  <c r="I41" i="6"/>
  <c r="I42" i="6"/>
  <c r="I43" i="6"/>
  <c r="I31" i="6"/>
  <c r="G32" i="6"/>
  <c r="G33" i="6"/>
  <c r="G34" i="6"/>
  <c r="G35" i="6"/>
  <c r="G36" i="6"/>
  <c r="G37" i="6"/>
  <c r="G38" i="6"/>
  <c r="G39" i="6"/>
  <c r="G40" i="6"/>
  <c r="G41" i="6"/>
  <c r="G42" i="6"/>
  <c r="G43" i="6"/>
  <c r="G31" i="6"/>
  <c r="F58" i="12" l="1"/>
  <c r="F71" i="12"/>
  <c r="F91" i="12"/>
  <c r="F84" i="12"/>
  <c r="F85" i="12" s="1"/>
  <c r="E81" i="12"/>
  <c r="E84" i="12" s="1"/>
  <c r="E85" i="12" s="1"/>
  <c r="O18" i="6"/>
  <c r="O17" i="6"/>
  <c r="O16" i="6"/>
  <c r="O15" i="6"/>
  <c r="O14" i="6"/>
  <c r="O13" i="6"/>
  <c r="O12" i="6"/>
  <c r="O11" i="6"/>
  <c r="O10" i="6"/>
  <c r="O9" i="6"/>
  <c r="O8" i="6"/>
  <c r="O7" i="6"/>
  <c r="J18" i="6"/>
  <c r="J17" i="6"/>
  <c r="J16" i="6"/>
  <c r="J15" i="6"/>
  <c r="J14" i="6"/>
  <c r="J13" i="6"/>
  <c r="J12" i="6"/>
  <c r="J11" i="6"/>
  <c r="J10" i="6"/>
  <c r="J9" i="6"/>
  <c r="J8" i="6"/>
  <c r="J7" i="6"/>
  <c r="N19" i="6"/>
  <c r="L19" i="6"/>
  <c r="I19" i="6"/>
  <c r="E18" i="6"/>
  <c r="E17" i="6"/>
  <c r="E16" i="6"/>
  <c r="E15" i="6"/>
  <c r="E14" i="6"/>
  <c r="E13" i="6"/>
  <c r="E12" i="6"/>
  <c r="E11" i="6"/>
  <c r="E10" i="6"/>
  <c r="E9" i="6"/>
  <c r="E8" i="6"/>
  <c r="E7" i="6"/>
  <c r="D19" i="6"/>
  <c r="D6" i="16" l="1"/>
  <c r="E19" i="16"/>
  <c r="E58" i="12"/>
  <c r="B22" i="16"/>
  <c r="E91" i="12"/>
  <c r="O19" i="6"/>
  <c r="J19" i="6"/>
  <c r="E19" i="6"/>
  <c r="D72" i="16" l="1"/>
  <c r="E72" i="16" s="1"/>
  <c r="E6" i="16"/>
  <c r="G8" i="16"/>
  <c r="B8" i="16"/>
  <c r="I13" i="18" l="1"/>
  <c r="D13" i="18"/>
  <c r="L65" i="7"/>
  <c r="L66" i="7"/>
  <c r="L67" i="7"/>
  <c r="L68" i="7"/>
  <c r="L69" i="7"/>
  <c r="L71" i="7"/>
  <c r="L72" i="7"/>
  <c r="L73" i="7"/>
  <c r="L75" i="7"/>
  <c r="L76" i="7"/>
  <c r="L78" i="7"/>
  <c r="L79" i="7"/>
  <c r="L80" i="7"/>
  <c r="L81" i="7"/>
  <c r="L82" i="7"/>
  <c r="L84" i="7"/>
  <c r="L85" i="7"/>
  <c r="L87" i="7"/>
  <c r="G87" i="7"/>
  <c r="G85" i="7"/>
  <c r="G84" i="7"/>
  <c r="G82" i="7"/>
  <c r="G81" i="7"/>
  <c r="G80" i="7"/>
  <c r="G79" i="7"/>
  <c r="G78" i="7"/>
  <c r="G76" i="7"/>
  <c r="G75" i="7"/>
  <c r="G73" i="7"/>
  <c r="G72" i="7"/>
  <c r="G71" i="7"/>
  <c r="G69" i="7"/>
  <c r="G68" i="7"/>
  <c r="G67" i="7"/>
  <c r="G66" i="7"/>
  <c r="G65" i="7"/>
  <c r="G85" i="5"/>
  <c r="G83" i="5"/>
  <c r="G82" i="5"/>
  <c r="G80" i="5"/>
  <c r="G79" i="5"/>
  <c r="G78" i="5"/>
  <c r="G77" i="5"/>
  <c r="G76" i="5"/>
  <c r="G74" i="5"/>
  <c r="G73" i="5"/>
  <c r="G71" i="5"/>
  <c r="G70" i="5"/>
  <c r="G69" i="5"/>
  <c r="G67" i="5"/>
  <c r="G66" i="5"/>
  <c r="G65" i="5"/>
  <c r="G64" i="5"/>
  <c r="G63" i="5"/>
  <c r="B24" i="16" l="1"/>
  <c r="B19" i="16" s="1"/>
  <c r="B6" i="16" s="1"/>
  <c r="B72" i="16" s="1"/>
  <c r="G24" i="16"/>
  <c r="L89" i="7"/>
  <c r="G89" i="7"/>
  <c r="G87" i="5"/>
  <c r="G88" i="5" s="1"/>
  <c r="N17" i="11"/>
  <c r="N19" i="11"/>
  <c r="N21" i="11"/>
  <c r="H21" i="11"/>
  <c r="H19" i="11"/>
  <c r="H17" i="11"/>
  <c r="H25" i="4"/>
  <c r="H23" i="4"/>
  <c r="H21" i="4"/>
  <c r="G19" i="16" l="1"/>
  <c r="N23" i="11"/>
  <c r="H27" i="4"/>
  <c r="H23" i="11"/>
  <c r="M88" i="2"/>
  <c r="M89" i="2"/>
  <c r="M90" i="2"/>
  <c r="M91" i="2"/>
  <c r="F89" i="2"/>
  <c r="F91" i="2"/>
  <c r="F90" i="2"/>
  <c r="F88" i="2"/>
  <c r="M85" i="2"/>
  <c r="F85" i="2"/>
  <c r="M83" i="2"/>
  <c r="F83" i="2"/>
  <c r="M82" i="2"/>
  <c r="F82" i="2"/>
  <c r="M79" i="2"/>
  <c r="M80" i="2"/>
  <c r="F80" i="2"/>
  <c r="F79" i="2"/>
  <c r="M74" i="2"/>
  <c r="M75" i="2"/>
  <c r="F75" i="2"/>
  <c r="F74" i="2"/>
  <c r="M72" i="2"/>
  <c r="F72" i="2"/>
  <c r="H82" i="12"/>
  <c r="H80" i="12"/>
  <c r="H79" i="12"/>
  <c r="H77" i="12"/>
  <c r="H76" i="12"/>
  <c r="H74" i="12"/>
  <c r="H73" i="12"/>
  <c r="H71" i="12"/>
  <c r="H70" i="12"/>
  <c r="H69" i="12"/>
  <c r="H67" i="12"/>
  <c r="H66" i="12"/>
  <c r="H63" i="12"/>
  <c r="G6" i="16" l="1"/>
  <c r="G72" i="16" s="1"/>
  <c r="M93" i="2"/>
  <c r="M94" i="2" s="1"/>
  <c r="F93" i="2"/>
  <c r="F94" i="2" s="1"/>
  <c r="H65" i="12"/>
  <c r="H81" i="12"/>
  <c r="H84" i="12" l="1"/>
  <c r="H85" i="12" s="1"/>
  <c r="B19" i="6"/>
  <c r="G60" i="5" l="1"/>
  <c r="G19" i="6" l="1"/>
  <c r="H24" i="11" l="1"/>
  <c r="H14" i="11"/>
  <c r="N24" i="11"/>
  <c r="N14" i="11"/>
  <c r="G61" i="7" l="1"/>
  <c r="G90" i="7"/>
  <c r="L61" i="7"/>
  <c r="L90" i="7"/>
  <c r="F62" i="2" l="1"/>
  <c r="F99" i="2"/>
  <c r="F67" i="2"/>
  <c r="H16" i="4"/>
  <c r="H28" i="4"/>
  <c r="J19" i="16" l="1"/>
  <c r="I6" i="16" l="1"/>
  <c r="J6" i="16" s="1"/>
  <c r="I72" i="16" l="1"/>
  <c r="J72" i="16" s="1"/>
</calcChain>
</file>

<file path=xl/sharedStrings.xml><?xml version="1.0" encoding="utf-8"?>
<sst xmlns="http://schemas.openxmlformats.org/spreadsheetml/2006/main" count="914" uniqueCount="389">
  <si>
    <t>(тыс. рублей)</t>
  </si>
  <si>
    <t>Наименование</t>
  </si>
  <si>
    <t>Субсидия на организацию предоставления областных услуг на базе многофункциональных центров предоставления государственных и муниципальных услуг</t>
  </si>
  <si>
    <t>Субсидия на комплектование книжных фондов библиотек муниципальных образований</t>
  </si>
  <si>
    <t>Итого:</t>
  </si>
  <si>
    <t>Заместитель главы Администрации
Октябрьского района - начальник ФЭУ</t>
  </si>
  <si>
    <t>Т. В. Юшковская</t>
  </si>
  <si>
    <t>Субсидия на реализацию принципа экстерриториальности при предоставлении государственных и муниципальных услуг</t>
  </si>
  <si>
    <t xml:space="preserve">Субвенция на осуществление полномочий по созданию и обеспечению деятельности административных комиссий </t>
  </si>
  <si>
    <t xml:space="preserve">Субвенция на осуществление полномочий по созданию и обеспечению деятельности комиссий по делам несовершеннолетних и защите их прав 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</si>
  <si>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</si>
  <si>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Субвенция на государственную регистрацию актов гражданского состояния </t>
  </si>
  <si>
    <t xml:space="preserve"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</t>
  </si>
  <si>
    <t xml:space="preserve"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</si>
  <si>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</si>
  <si>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</si>
  <si>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</si>
  <si>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</si>
  <si>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</si>
  <si>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Субвенция на оплату жилищно-коммунальных услуг отдельным категориям граждан 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</si>
  <si>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</si>
  <si>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 xml:space="preserve"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</t>
  </si>
  <si>
    <t xml:space="preserve"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</si>
  <si>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</si>
  <si>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</si>
  <si>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</t>
  </si>
  <si>
    <t xml:space="preserve">Субвенция на осуществление полномочий по предоставлению материальной и иной помощи для погребения </t>
  </si>
  <si>
    <t xml:space="preserve">Субвенция на осуществление полномочий по предоставлению мер социальной поддержки детей из многодетных семей </t>
  </si>
  <si>
    <t xml:space="preserve">Субвенция на осуществление полномочий по предоставлению мер социальной поддержки детей первого-второго года жизни из малоимущих семей </t>
  </si>
  <si>
    <t xml:space="preserve">Субвенция на осуществление полномочий по выплате пособия на ребенка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</si>
  <si>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</si>
  <si>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</si>
  <si>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</si>
  <si>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</si>
  <si>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</si>
  <si>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</t>
  </si>
  <si>
    <t xml:space="preserve"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</t>
  </si>
  <si>
    <t>Осуществление ежемесячной денежной выплаты в связи с рождением (усыновлением) первого ребенка</t>
  </si>
  <si>
    <t>Субвенция по назначению и выплате единовременного пособия при передаче ребенка на воспитание в семью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</si>
  <si>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</si>
  <si>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</t>
  </si>
  <si>
    <t>Октябрьский район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</si>
  <si>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</si>
  <si>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</si>
  <si>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</si>
  <si>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</si>
  <si>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</si>
  <si>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</si>
  <si>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</si>
  <si>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</si>
  <si>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</si>
  <si>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</si>
  <si>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материальной и иной помощи для погребения</t>
  </si>
  <si>
    <t>Субвенция на осуществление полномочий по предоставлению мер социальной поддержки детей из многодетных семей</t>
  </si>
  <si>
    <t>Субвенция на осуществление полномочий по выплате пособия на ребенка</t>
  </si>
  <si>
    <t>Осуществление ежемесячной выплаты в связи с рождением (усыновлением) первого ребенка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</si>
  <si>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</si>
  <si>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</si>
  <si>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</si>
  <si>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</si>
  <si>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>Субвенция на государственную регистрацию актов гражданского состояния</t>
  </si>
  <si>
    <t>Приложение 3</t>
  </si>
  <si>
    <t>Приложение 1</t>
  </si>
  <si>
    <t>Приложение 2</t>
  </si>
  <si>
    <t>Приложение 4</t>
  </si>
  <si>
    <t>Приложение 5</t>
  </si>
  <si>
    <t>Приложение 6</t>
  </si>
  <si>
    <t>Приложение 7</t>
  </si>
  <si>
    <t>РАСХОДЫ, всего</t>
  </si>
  <si>
    <t xml:space="preserve">  в том числе:</t>
  </si>
  <si>
    <t>Заместитель главы Администрации
 Октябрьского района – начальник ФЭУ</t>
  </si>
  <si>
    <t>Приложение 8</t>
  </si>
  <si>
    <t>Алексеевское сельское поселение</t>
  </si>
  <si>
    <t>Артемовское сельское поселение</t>
  </si>
  <si>
    <t>Бессергеневское сельское поселение</t>
  </si>
  <si>
    <t>Каменоломненское городское поселение</t>
  </si>
  <si>
    <t>Керчикское сельское поселение</t>
  </si>
  <si>
    <t>Коммунарское сельское поселение</t>
  </si>
  <si>
    <t>Краснокутское сельское поселение</t>
  </si>
  <si>
    <t>Краснолучское сельское поселение</t>
  </si>
  <si>
    <t>Красюковское сельское поселение</t>
  </si>
  <si>
    <t>Кривянское сельское поселение</t>
  </si>
  <si>
    <t>Мокрологское сельское поселение</t>
  </si>
  <si>
    <t>Персиановское сельское поселение</t>
  </si>
  <si>
    <t>Вед.</t>
  </si>
  <si>
    <t>Вед</t>
  </si>
  <si>
    <t>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</si>
  <si>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Х</t>
  </si>
  <si>
    <t>Субвенция назначению и выплате единовременного пособия при передаче ребенка на воспитание в семью</t>
  </si>
  <si>
    <t>Топливно-энергетический комплекс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</si>
  <si>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</si>
  <si>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</si>
  <si>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</si>
  <si>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Другие общегосударственные вопросы</t>
  </si>
  <si>
    <t>ЖИЛИЩНО-КОММУНАЛЬНОЕ ХОЗЯЙСТВО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</si>
  <si>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</si>
  <si>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</si>
  <si>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</si>
  <si>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</si>
  <si>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</si>
  <si>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</si>
  <si>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ЗДРАВООХРАНЕНИЕ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</si>
  <si>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</si>
  <si>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</si>
  <si>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</si>
  <si>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Субсидия на софинансирование муниципальных программ по работе с молодежью</t>
  </si>
  <si>
    <t>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</si>
  <si>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 xml:space="preserve">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
малоимущих семьях
</t>
  </si>
  <si>
    <t xml:space="preserve">осуществление полномочий по выплате инвалидам компенсации страховых премий по договору 
обязательного страхования гражданской ответственности владельцев транспортных средств
</t>
  </si>
  <si>
    <t>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</si>
  <si>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Субсидии на реализацию мероприятий по обеспечению жильем молодых семей</t>
  </si>
  <si>
    <t>Субсидия на финансовое обеспечение деятельности мо-бильных бригад, осуществляющих доставку лиц старше 65 лет, проживающих в сельской местности, в медицинские организации</t>
  </si>
  <si>
    <t>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ор-ганизации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</si>
  <si>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ор-ганизациях</t>
  </si>
  <si>
    <t>Субвенция на 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(изменению,дополнению) списков кандидатов в присяжные заседатели федеральных судов общей юрисдикции в Российской Федерации</t>
  </si>
  <si>
    <t xml:space="preserve"> Субвенция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</si>
  <si>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
малоимущих семьях</t>
  </si>
  <si>
    <t xml:space="preserve">Субвенция на 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
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</si>
  <si>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</si>
  <si>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</si>
  <si>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Субвенция на  реализацию Федерального закона от 20 августа 2004 года № 113-ФЗ «О присяжных заседателях федеральныхсудов общей юрисдикции в Российской Федерации» для финансового обеспечения государственных полномочий по составлению (изменению,
 дополнению) списков кандидатов в присяжные заседатели федеральных судов общей юрисдикции в Российской Федерации</t>
  </si>
  <si>
    <t xml:space="preserve"> 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</si>
  <si>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РзПр</t>
  </si>
  <si>
    <t>08 01</t>
  </si>
  <si>
    <t>07 03</t>
  </si>
  <si>
    <t>07 02</t>
  </si>
  <si>
    <t>05 02</t>
  </si>
  <si>
    <t>05 03</t>
  </si>
  <si>
    <t>10 04</t>
  </si>
  <si>
    <t>10 06</t>
  </si>
  <si>
    <t>Субсидия на организацию отдыха детей в каникулярное время</t>
  </si>
  <si>
    <t>07 07</t>
  </si>
  <si>
    <t>04 09</t>
  </si>
  <si>
    <t>Субсидия на возмещение предприятиям жилищно-коммунального хозяйства части платы граждан за коммунальные услуги (Район)</t>
  </si>
  <si>
    <t>Субсидия на возмещение предприятиям жилищно-коммунального хозяйства части платы граждан за коммунальные услуги (Каменоломненское городское поселение)</t>
  </si>
  <si>
    <t>09 00</t>
  </si>
  <si>
    <t>01 13</t>
  </si>
  <si>
    <t>09 09</t>
  </si>
  <si>
    <t>01 04</t>
  </si>
  <si>
    <t>01 05</t>
  </si>
  <si>
    <t>04 05</t>
  </si>
  <si>
    <t>09 01</t>
  </si>
  <si>
    <t>10 02</t>
  </si>
  <si>
    <t>10 03</t>
  </si>
  <si>
    <t>07 09</t>
  </si>
  <si>
    <t>07 01</t>
  </si>
  <si>
    <t>Владение, пользование и распоряжение имуществом, находящимся в муниципальной собственности поселения</t>
  </si>
  <si>
    <t>Определение поставщиков (подрядчиков, исполнителей) для отдельных муниципальных заказчиков, действующих от имени поселений и бюджетных учреждений поселений</t>
  </si>
  <si>
    <t>Организация в границах поселения электро-, тепло-, газо- и водоснабжения населения, водоотведения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</si>
  <si>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строительство, разрешений на  ввод объектов в эксплуатацию</t>
  </si>
  <si>
    <t>Передача осуществления части полномочий органом местного самоуправления поселения органу местного самоуправления муниципального района в области жилищного строительства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</si>
  <si>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</si>
  <si>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развития местного традиционного народного художественного творчества в поселениях</t>
  </si>
  <si>
    <t>Передача осуществления части полномочий органом местного самоуправления поселения органу местного самоуправления муниципального района в части внутреннего финансового контроля</t>
  </si>
  <si>
    <t>Приложение 9</t>
  </si>
  <si>
    <t>ОБЩЕГОСУДАРСТВЕННЫЕ ВОПРОСЫ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</si>
  <si>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</si>
  <si>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</si>
  <si>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</si>
  <si>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Гражданская оборона</t>
  </si>
  <si>
    <t>НАЦИОНАЛЬНАЯ ЭКОНОМИКА</t>
  </si>
  <si>
    <t>Жилищное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</si>
  <si>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</si>
  <si>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</si>
  <si>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</si>
  <si>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</si>
  <si>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</si>
  <si>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</si>
  <si>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</si>
  <si>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</si>
  <si>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</si>
  <si>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</si>
  <si>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Другие вопросы в области социальной политики</t>
  </si>
  <si>
    <t>ФИЗИЧЕСКАЯ КУЛЬТУРА И СПОРТ</t>
  </si>
  <si>
    <t>Массовый спорт</t>
  </si>
  <si>
    <t>Функционирование представительных органов муниципальных образований</t>
  </si>
  <si>
    <t>Функционирование местных администраций</t>
  </si>
  <si>
    <t>Обеспечение деятельности финансовых, органов финансового (финансово-бюджетного) надзора</t>
  </si>
  <si>
    <t>ДОХОДЫ, всего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</si>
  <si>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</si>
  <si>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</si>
  <si>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</si>
  <si>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</si>
  <si>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</si>
  <si>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Платежи при пользовании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</si>
  <si>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</si>
  <si>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</si>
  <si>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</si>
  <si>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</si>
  <si>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</si>
  <si>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Дотация</t>
  </si>
  <si>
    <t>Субсидии</t>
  </si>
  <si>
    <t>Субвенции</t>
  </si>
  <si>
    <t>Иные межбюджетные трансферты</t>
  </si>
  <si>
    <t>ДЕФИЦИТ / ПРОФИЦИТ -/+</t>
  </si>
  <si>
    <t>Субвенцияна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</t>
  </si>
  <si>
    <t>Отклонения +/-</t>
  </si>
  <si>
    <t>Проект 
на 2023 год
I чтение</t>
  </si>
  <si>
    <t>Проект 
на 2023 год
II чтение</t>
  </si>
  <si>
    <t>Проект 
на 2024 год
I чтение</t>
  </si>
  <si>
    <t>Проект 
на 2024 год
II чтение</t>
  </si>
  <si>
    <t>муниципальных образований</t>
  </si>
  <si>
    <t>Сумма</t>
  </si>
  <si>
    <t>2022 год</t>
  </si>
  <si>
    <t>2023 год</t>
  </si>
  <si>
    <t>2024 год</t>
  </si>
  <si>
    <t>Каменоломненское г.п.    Октябрьского района</t>
  </si>
  <si>
    <t>Алексеевское с.п.</t>
  </si>
  <si>
    <t>Артемовское с.п.</t>
  </si>
  <si>
    <t>Бессергеневское с.п.</t>
  </si>
  <si>
    <t>Керчикское с.п.</t>
  </si>
  <si>
    <t>Коммунарское с.п.</t>
  </si>
  <si>
    <t>Краснокутское с.п.</t>
  </si>
  <si>
    <t>Краснолучское с.п.</t>
  </si>
  <si>
    <t>Красюковское с.п.</t>
  </si>
  <si>
    <t>Кривянское с.п.</t>
  </si>
  <si>
    <t>Мокрологское с.п.</t>
  </si>
  <si>
    <t>Персиановское с.п.</t>
  </si>
  <si>
    <t>Субсидия на возмещение предприятиям жилищно-коммунального хозяйства части платы граждан за коммунальные услуги (Персиановское сельское поселение)</t>
  </si>
  <si>
    <t>СПРАВОЧНО:</t>
  </si>
  <si>
    <t>Субвенции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</si>
  <si>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Субвенции на осуществление полномочий по предоставлению мер социальной поддержки тружеников тыла</t>
  </si>
  <si>
    <t>Субвенции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</si>
  <si>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Субвенции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</si>
  <si>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 xml:space="preserve"> Субвенция на осуществление полномочий по назначению и выплате пособия по беременности и родам,единовременного пособия при рождении ребенка, ежемесячного пособия по уходу за ребенком женщинам, уволенным в период беременности, отпуска по беременности и родам, и лицам, уволенным в период отпуска по уходу  за ребенком в связи с ликвидацией организаций</t>
  </si>
  <si>
    <t>Проект бюджета Октябрьского района на 2023 - 2025 годы</t>
  </si>
  <si>
    <t>Информация
о распределении субсидий на 2023 год</t>
  </si>
  <si>
    <t>Распределение субсидий  бюджетам поселений на 2023 год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</si>
  <si>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Минкультуры</t>
  </si>
  <si>
    <t xml:space="preserve">Субсидия на организацию подвоза обучающихся и аренду плавательных бассейнов для обучения плаванию обучающихся муниципальных общеобразовательных организаций в рамках реализации внеурочной деятельности </t>
  </si>
  <si>
    <t>Минобразов.</t>
  </si>
  <si>
    <t>Минсельхоз</t>
  </si>
  <si>
    <t>Минтранс</t>
  </si>
  <si>
    <t>МинЖКХ</t>
  </si>
  <si>
    <t>Минстрой</t>
  </si>
  <si>
    <t>Минтруд</t>
  </si>
  <si>
    <t>Субсидия на проведение комплексных кадастровых работ</t>
  </si>
  <si>
    <t>Минимущество</t>
  </si>
  <si>
    <t>Минцифрового развития</t>
  </si>
  <si>
    <t>Комитет по молодежной пол</t>
  </si>
  <si>
    <t>Информация
о распределении субсидий на 2024 - 2025 годы</t>
  </si>
  <si>
    <t>Минобраз.</t>
  </si>
  <si>
    <t>Комитет по молодежной</t>
  </si>
  <si>
    <t>Информация
о распределении субвенций на 2023 год</t>
  </si>
  <si>
    <t>Информация
о распределении субвенций на 2024 - 2025 годы</t>
  </si>
  <si>
    <t>Информация
о распределении иных межбюджетных трансфертов на 2023 год</t>
  </si>
  <si>
    <t>Информация
о распределении иных межбюджетных трансфертов на 2024-2025 годы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</si>
  <si>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</si>
  <si>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Капитальный ремонт сельского дома культуры по адресу: п. Новокадамово, ул. Клубная, 7, Октябрьский район, Ростовская область</t>
  </si>
  <si>
    <t>Капитальный ремонт СДК ст. Заплавской и прилегающей дворовой территории по адресу: Ростовская область, Октябрьский район, ст. Заплавская, ул. Ленина д.1</t>
  </si>
  <si>
    <r>
      <t xml:space="preserve">Капитальный ремонт сетей водоснабжения по ул. Виноградной, ул. Клубной ст. Заплавской Октябрьского района                                                                        </t>
    </r>
    <r>
      <rPr>
        <i/>
        <sz val="15"/>
        <color indexed="8"/>
        <rFont val="Times New Roman"/>
        <family val="1"/>
        <charset val="204"/>
      </rPr>
      <t>Расходы на обеспечение комплексного развития сельских территорий</t>
    </r>
  </si>
  <si>
    <r>
      <t xml:space="preserve">Капитальный ремонт сетей самотечной системы водоотведения от ул. Шоссейной до здания КНС пер. Аптечный, 1 а ст. Заплавской Октябрьского района                                                                      </t>
    </r>
    <r>
      <rPr>
        <i/>
        <sz val="15"/>
        <color indexed="8"/>
        <rFont val="Times New Roman"/>
        <family val="1"/>
        <charset val="204"/>
      </rPr>
      <t>Расходы на обеспечение комплексного развития сельских территорий</t>
    </r>
  </si>
  <si>
    <t xml:space="preserve">Капитальный ремонт электролинии ул.Освещения по адресу п.Новокадамово, ул.Шоссейная                                                                                                                                                          </t>
  </si>
  <si>
    <r>
      <t xml:space="preserve">Устройство стадиона вблизи п.Новокадамово Артемовского сельского поселения, Октябрьского района Ростовской области                                                                         </t>
    </r>
    <r>
      <rPr>
        <i/>
        <sz val="15"/>
        <color indexed="8"/>
        <rFont val="Times New Roman"/>
        <family val="1"/>
        <charset val="204"/>
      </rPr>
      <t xml:space="preserve"> </t>
    </r>
  </si>
  <si>
    <t xml:space="preserve"> Субсидия на государственная поддержка отрасли 
культуры (комплектование книжных фондов библиотек муниципальных образований)</t>
  </si>
  <si>
    <r>
      <t xml:space="preserve">Субсидия на приобретение основных средств для муниципальных учреждений культуры
</t>
    </r>
    <r>
      <rPr>
        <i/>
        <sz val="15"/>
        <rFont val="Times New Roman"/>
        <family val="1"/>
        <charset val="204"/>
      </rPr>
      <t>Приобретение компьютерного оборудования для Межпоселенческой центральной библиотеки Октябрьского района Ростовской области</t>
    </r>
  </si>
  <si>
    <r>
      <t xml:space="preserve">Государственная поддержка отрасли культуры </t>
    </r>
    <r>
      <rPr>
        <sz val="15"/>
        <rFont val="Times New Roman"/>
        <family val="1"/>
        <charset val="204"/>
      </rPr>
      <t>(комплектование книжных фондов библиотек муниципальных образований)</t>
    </r>
  </si>
  <si>
    <t>Субсидия на приобретение основных средств для муниципальных учреждений культуры                               (приобретение компьютерного оборудования для Межпоселенческой центральной библиотеки)</t>
  </si>
  <si>
    <t>Благоустройство сквера по ул. Транспортная х.Маркин Мокрологского сельского поселения</t>
  </si>
  <si>
    <t>Ремонт автомобильной дороги по ул.Средняя с.Алексеевка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</si>
  <si>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</si>
  <si>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ул.Комсомольская, х.Киреевка Октябрьского района Ростовской области</t>
  </si>
  <si>
    <t>Ремонт дороги по ул.Гагарина, п.Новокадамово  Октябрьского района Ростовской области</t>
  </si>
  <si>
    <t>Ремонт автомобильной дороги по ул.Семисохина в ст.Бессергеневская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</si>
  <si>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</si>
  <si>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ул.Северная, п.Новокадамово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</si>
  <si>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</si>
  <si>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</si>
  <si>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</si>
  <si>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</si>
  <si>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</si>
  <si>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</si>
  <si>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</si>
  <si>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</si>
  <si>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автомобильной дороги по ул.40 лет Победы в ст.Кривянская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</si>
  <si>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</si>
  <si>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</si>
  <si>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</si>
  <si>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</si>
  <si>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</si>
  <si>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Распределение субсидий  бюджетам поселений на 2024 и 2025 годов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</si>
  <si>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04 12</t>
  </si>
  <si>
    <t>05 01</t>
  </si>
  <si>
    <t>Ремонт дороги "Подъезд от а/д г.Шахты - ст. Раздорская а/д г.Шахты - г.Цимлянск к п. Нижнедонской</t>
  </si>
  <si>
    <t>Ремонт Автомобильная дорога общего пользования местного значения "Подъезд от а/д "г.Новочеркасск (Хотунок)- п. Багаевский" к х.Калинин</t>
  </si>
  <si>
    <t>Реализация программ формирования современной городской среды (Благоустройство общественной территории по адресу: улица Заречная х.Ильичевка Ростовской области)</t>
  </si>
  <si>
    <t>Ремонт автодороги п.Качкан, ул.Райниса</t>
  </si>
  <si>
    <t>Ремонт автодороги п. Новокадамово, ул.Западная</t>
  </si>
  <si>
    <t>Ремонт автодороги п. Верхнегрушевский, ул.Ленина</t>
  </si>
  <si>
    <t>Ремонт автодороги п. Залужный, ул.Школьная</t>
  </si>
  <si>
    <t>Ремонт автодороги п. Нижнедонской, ул.Ленина</t>
  </si>
  <si>
    <t>Ремонт автодороги х.Маркин, ул.Школьная</t>
  </si>
  <si>
    <t>Распределение межбюджетных трансфертов, передаваемых бюджету Октябрьского района, из бюджетов поселений на осуществление части полномочий по решению вопросов местного значения в соответствии с заключенными соглашениями на 2023 и на плановый период 2024 и 2025 годов</t>
  </si>
  <si>
    <t xml:space="preserve">Субвенции бюджетам муниципальных районов и городских округов на 2023 год и на плановый период 2024 и 2025 годов на осуществление полномочий по предоставлению меры социальной поддержки семей, имеющих детей с фенилкетонурией
</t>
  </si>
  <si>
    <t>Иные межбюджетные трансферты бюджетам муниципальных районов и городских округов на 2023 год и на плановый период 2024 и 2025 годов на реализацию программ местного развития и обеспечение занятости для шахтерских городов и поселков</t>
  </si>
  <si>
    <t>Техническое оснащение региональных и муниципальных музеев</t>
  </si>
  <si>
    <t>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</si>
  <si>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Оснащение муниципальных образовательных организаций и объектов после завершения капитального ремонта, строительства, реконструкции                                      </t>
    </r>
    <r>
      <rPr>
        <i/>
        <sz val="15"/>
        <rFont val="Times New Roman"/>
        <family val="1"/>
        <charset val="204"/>
      </rPr>
      <t>(МБОУ гимназия №20 им.С.С. Станчева)</t>
    </r>
  </si>
  <si>
    <r>
      <t xml:space="preserve">Оснащение муниципальных образовательных организаций и объектов после завершения капитального ремонта, строительства, реконструкции                                      </t>
    </r>
    <r>
      <rPr>
        <sz val="15"/>
        <rFont val="Times New Roman"/>
        <family val="1"/>
        <charset val="204"/>
      </rPr>
      <t xml:space="preserve"> </t>
    </r>
    <r>
      <rPr>
        <i/>
        <sz val="15"/>
        <rFont val="Times New Roman"/>
        <family val="1"/>
        <charset val="204"/>
      </rPr>
      <t>(дошкольная образовательная организация на 120 мест Октябрьского района,Красюковского с/п)</t>
    </r>
  </si>
  <si>
    <r>
      <t xml:space="preserve">Cоздание (реконструкция) объектов спортивной инфраструктуры массового спорта                                </t>
    </r>
    <r>
      <rPr>
        <i/>
        <sz val="15"/>
        <color indexed="8"/>
        <rFont val="Times New Roman"/>
        <family val="1"/>
        <charset val="204"/>
      </rPr>
      <t>(строительство бассейна в п. Персиановский)</t>
    </r>
  </si>
  <si>
    <r>
      <t xml:space="preserve">Субсидия на приобретение основных средств для муниципальных учреждений культуры
</t>
    </r>
    <r>
      <rPr>
        <i/>
        <sz val="15"/>
        <rFont val="Times New Roman"/>
        <family val="1"/>
        <charset val="204"/>
      </rPr>
      <t>Оснащение РДК п.Каменоломни Октябрьского района</t>
    </r>
  </si>
  <si>
    <t>Приложение 2.1</t>
  </si>
  <si>
    <r>
      <t xml:space="preserve">Укрепление материально-технической базы домов культуры в населенных пунктах с числом жителей до 50 тысяч человек </t>
    </r>
    <r>
      <rPr>
        <i/>
        <sz val="15"/>
        <color indexed="8"/>
        <rFont val="Times New Roman"/>
        <family val="1"/>
        <charset val="204"/>
      </rPr>
      <t>(Керчикское поселение -3770,0; Персиановское поселение- 3583,5)</t>
    </r>
  </si>
  <si>
    <r>
      <t xml:space="preserve">Субсидия на государственная поддержка отрасли </t>
    </r>
    <r>
      <rPr>
        <i/>
        <sz val="15"/>
        <color indexed="8"/>
        <rFont val="Times New Roman"/>
        <family val="1"/>
        <charset val="204"/>
      </rPr>
      <t xml:space="preserve">(Красюковское поселение) </t>
    </r>
  </si>
  <si>
    <t>Капитальный ремонт здания муниципального бюджетного общеобразовательного учреждения средней общеобразовательной школы №43, расположенного в х. Ильичевка по ул. Заречная, 46 Октябрьского района Ростовской области</t>
  </si>
  <si>
    <t xml:space="preserve">Реализация мероприятий по модернизации школьных систем образования </t>
  </si>
  <si>
    <t>Приобретение водонапорной башни "Рожновского" в п.Новоперсиановка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</si>
  <si>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 Персиановский, ул. Кривошлыкова, д. 9-а)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</si>
  <si>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 Каменоломни, пер. Узкий, д. 41)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</si>
  <si>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 Новоперсиановка, ул. Комсомольская, д. 4 и 6)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</si>
  <si>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 Каменоломни, пер. Шоссейный д. 15)</t>
  </si>
  <si>
    <t>11 02</t>
  </si>
  <si>
    <t xml:space="preserve"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</si>
  <si>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</si>
  <si>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Доходы от продажи материальных и нематериальных активов</t>
  </si>
  <si>
    <t>Проект
 на 2023 год
рассмотренный на публичных слушаниях</t>
  </si>
  <si>
    <t>Проект
 на 2023 год</t>
  </si>
  <si>
    <t>Проект
 на 2024 год
рассмотренный на публичных слушаниях</t>
  </si>
  <si>
    <t>Проект 
на 2024 год</t>
  </si>
  <si>
    <t>Проект
 на 2025 год
рассмотренный на публичных слушаниях</t>
  </si>
  <si>
    <t>Проект 
на 2025 год</t>
  </si>
  <si>
    <t>Информация
о распределении дотаций на выравнивание бюджетной обеспеченности на 2023 -2025 годов</t>
  </si>
  <si>
    <t>Информация
о распределении дотаций по обеспечению сбалансированности на 2023 -2025 годов</t>
  </si>
  <si>
    <t>Капитальный ремонт МБОУ лицей № 82 им. А.Н. Знаменского по адресу: Ростовская область, Октябрьский район, р.п. Каменоломни, ул. Крупской 39,41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</si>
  <si>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</si>
  <si>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r>
      <t xml:space="preserve">Оснащение муниципальных образовательных организаций и объектов после завершения капитального ремонта, строительства, реконструкции                                      </t>
    </r>
    <r>
      <rPr>
        <i/>
        <sz val="15"/>
        <rFont val="Times New Roman"/>
        <family val="1"/>
        <charset val="204"/>
      </rPr>
      <t>(МБОУ лицей №82 им.Знаменского)</t>
    </r>
  </si>
  <si>
    <t>Строительство дошкольной образовательной организации на 120 мест Октябрьского рйона, Красюковское с/п</t>
  </si>
  <si>
    <t>Капитальный ремонт административно-бытового здания управления социальной защиты населения Администрации Октябрьского района</t>
  </si>
  <si>
    <t>Ремонт автомобильной дороги "Подъезд от а/д "г.Шахты-Наклонная" к п.Атюхта</t>
  </si>
  <si>
    <t>Ремонт автомобильной дороги и тротуара по ул.Энгельса в р.п. Каменоломни Октябрьского района Ростовской области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</si>
  <si>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 Красногорняцкий, ул. Центральная, д.7)</t>
  </si>
  <si>
    <t>Капитальный ремонт уличного освещения от КТП № 287 по адресу: Ростовская область, Октябрьский район, ст. Заплавская</t>
  </si>
  <si>
    <t>Устройство пешеходной дорожки в парковой зоне п. Новозарянский Октябрьского района Ростовской области на земельном участке с кадастровым номером: 61:28:0100101:357/3</t>
  </si>
  <si>
    <t>Благоустройство площади по адресу: Россия, Ростовская область, р-н Октябрьский, Красюковское сельское поселение сл. Красюковская, ул. Советская, 24а</t>
  </si>
  <si>
    <t>Обустройство многофункциональной спортивной площадки расположенной по адресу: Ростовская область, Октябрьский район, с. Алексеевка, ул. Бондаревского</t>
  </si>
  <si>
    <t>Утверждено
на 2023 год</t>
  </si>
  <si>
    <t>Проект</t>
  </si>
  <si>
    <t>Субсидии на обеспечение первичных мер пожарной безопастности на территории поселений (Красюковское поселение)</t>
  </si>
  <si>
    <t>Субсидии на обеспечение первичных мер пожарной безопастности на территории поселений (Кривянское поселение)</t>
  </si>
  <si>
    <t>Субсидии на обеспечение первичных мер пожарной безопастности на территории поселений (Коммунарское поселение)</t>
  </si>
  <si>
    <t>Утверждено
 на 2023 год</t>
  </si>
  <si>
    <t>Утверждено 
на 2024 год</t>
  </si>
  <si>
    <t>Утверждено 
на 2025 год</t>
  </si>
  <si>
    <t>Утверждено
на 2025 год</t>
  </si>
  <si>
    <t>Утверждено
на 2024 год</t>
  </si>
  <si>
    <t>Проект на 2024 год</t>
  </si>
  <si>
    <t>Проект на 2025 год</t>
  </si>
  <si>
    <t>Приложение 10</t>
  </si>
  <si>
    <t>Доходы полученные сверх утвержденного решения о бюджете</t>
  </si>
  <si>
    <t>в том числе:</t>
  </si>
  <si>
    <t>ДОРОЖНЫЙ ФОНД</t>
  </si>
  <si>
    <t>УВЕЛИЧЕНИЕ АССИГНОВАНИЙ</t>
  </si>
  <si>
    <t>СОКРАЩЕНИЕ АССИГНОВАНИЙ</t>
  </si>
  <si>
    <t>РУЗУЛЬТАТ +/-</t>
  </si>
  <si>
    <t>Параметры корректировки проекта бюджета Октябрьского района 2023 - 2025 годы</t>
  </si>
  <si>
    <t>2025 год</t>
  </si>
  <si>
    <t>Нецелевые остатки доступные к распределению</t>
  </si>
  <si>
    <t>Остаток дорожного фонда</t>
  </si>
  <si>
    <t>Остаток нецелевых денежных средств доступных к распределению</t>
  </si>
  <si>
    <t>Штрафные санкции приименные к подрядной организации в виде взыскания банковской гарантии, за ненадлежащее исполнение обязательств по выполнению видов и объемов работ по строительству  объектов муниципальной собственности</t>
  </si>
  <si>
    <t xml:space="preserve">Защита населения и территории от чрезвычайных ситуаций природного и </t>
  </si>
  <si>
    <t>ОХРАНА ОКРУЖАЮЩЕЙ СРЕДЫ</t>
  </si>
  <si>
    <t>Сбор, удаление отходов и очистка сточных вод</t>
  </si>
  <si>
    <t>Приобретение с установкой дверных блоков для муниципального учреждения «Октябрьский районный Дворец культуры» р.п. Каменоломни</t>
  </si>
  <si>
    <t>Ремонт автодороги по пер. Октябрьский в п. Верхнегрушевский Октябрьского района Ростовской области</t>
  </si>
  <si>
    <t>Ремонт и содержание автомобильных дорог общего пользования местного значения (МКУ "Департамент строительства и жилищно-коммунального хозяйства" Октябрьского района)</t>
  </si>
  <si>
    <t>Обследование объекта: "Реконструкция сетей водоснабжения п. Персиановский Октябрьского района Ростовской области"</t>
  </si>
  <si>
    <t>Ремонт автомобильной дороги по ул. Советская в п. Кадамовский Октябрьского района Ростовской области</t>
  </si>
  <si>
    <t>Ремонт водоотводного лотка по пер. Узкий (от ул. Пролетарская до ул. Энгельса) в р.п. Каменоломни Октябрьского района Ростовской области</t>
  </si>
  <si>
    <t>Ремонт и содержание автомобильных дорог общего пользования местного значения (Красюковское сельское поселение)</t>
  </si>
  <si>
    <t>Ремонт и содержание автомобильных дорог общего пользования местного значения (Кривянское сельское поселение)</t>
  </si>
  <si>
    <t>Расходы на содержание аппарата финансово - экономического управления Администрации Октябрьского района</t>
  </si>
  <si>
    <t>Расходы на содержание аппарата Администрации Октябрьского района</t>
  </si>
  <si>
    <t>Ремонт и содержание автомобильных дорог общего пользования местного значения (Бессергеневское сельское поселение)</t>
  </si>
  <si>
    <t>Приобретение подвижного состава пассажирского транспорта общего пользования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</si>
  <si>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</si>
  <si>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Мероприятия по обновлению пассажирского транспорта. Приобретение 7 (семи) единиц техники (автобусов)</t>
  </si>
  <si>
    <t>Текущие расходы бюджетных организаций подведомственных отделу образования</t>
  </si>
  <si>
    <t>Приобретение блочно-модульной станции с установкой и выполнением пусконаладочных работ в хуторе Маркин</t>
  </si>
  <si>
    <t>Ремонт автомобильной дороги по ул. Кадамовская п. Персиановский</t>
  </si>
  <si>
    <t>Ремонт и содержание автомобильных дорог общего пользования местного значения (Коммунарское сельское поселение)</t>
  </si>
  <si>
    <t>Средства на  реализацию майских указов Президента Российской Федерации 2012 года, в части сохранения соотношения средней заработной платы от трудовой деятельности по региону, которая установлена в размере 38 663,80 рублей и средней заработной платы отдельных категорий работников учреждений культуры</t>
  </si>
  <si>
    <t>Ремонт автомобильной дороги общего пользования местного значения «Подъезд от магистрали «Дон» к п.Заречный (1 этап)</t>
  </si>
  <si>
    <t>Осуществление полномочий по предоставлению меры социальной поддержки семей, имеющих детей с фенилкетонурией</t>
  </si>
  <si>
    <t>Текущие расходы МБУ "Эксплуатация и благоустройство"</t>
  </si>
  <si>
    <t>Ремонт автодороги по ул. Гагарина в п. Верхнегрушевский Октябрьского района Ростовской области</t>
  </si>
  <si>
    <t>Ремонт участка автодороги по ул. Ленина от ул. Гагарина до пер. Октябрьский  в п. Верхнегрушевский  Октябрьского района Ростовской области</t>
  </si>
  <si>
    <t>Транспорт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</si>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</sst>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_р_._-;\-* #,##0.0_р_._-;_-* &quot;-&quot;??_р_._-;_-@_-"/>
    <numFmt numFmtId="168" formatCode="#,##0;\-#,##0;&quot;-&quot;"/>
    <numFmt numFmtId="169" formatCode="#,##0.00;\-#,##0.00;&quot;-&quot;"/>
    <numFmt numFmtId="170" formatCode="#,##0%;\-#,##0%;&quot;- &quot;"/>
    <numFmt numFmtId="171" formatCode="#,##0.0%;\-#,##0.0%;&quot;- &quot;"/>
    <numFmt numFmtId="172" formatCode="#,##0.00%;\-#,##0.00%;&quot;- &quot;"/>
    <numFmt numFmtId="173" formatCode="#,##0.0;\-#,##0.0;&quot;-&quot;"/>
    <numFmt numFmtId="174" formatCode="_-* #,##0\ _D_M_-;\-* #,##0\ _D_M_-;_-* &quot;-&quot;\ _D_M_-;_-@_-"/>
    <numFmt numFmtId="175" formatCode="_-* #,##0.00\ _D_M_-;\-* #,##0.00\ _D_M_-;_-* &quot;-&quot;??\ _D_M_-;_-@_-"/>
    <numFmt numFmtId="176" formatCode="[&lt;=9999999]#&quot;-&quot;####;&quot;(&quot;#&quot;) &quot;###&quot;-&quot;####"/>
    <numFmt numFmtId="177" formatCode="0%;\(0%\)"/>
    <numFmt numFmtId="178" formatCode="\ \ @"/>
    <numFmt numFmtId="179" formatCode="\ \ \ \ @"/>
    <numFmt numFmtId="180" formatCode="_(* #,##0.00_);_(* \(#,##0.00\);_(* &quot;-&quot;??_);_(@_)"/>
    <numFmt numFmtId="181" formatCode="_-* #,##0.00\ _р_._-;\-* #,##0.00\ _р_._-;_-* &quot;-&quot;??\ _р_._-;_-@_-"/>
    <numFmt numFmtId="182" formatCode="_-* #,##0.00_р_._-;\-* #,##0.00_р_._-;_-* \-??_р_._-;_-@_-"/>
    <numFmt numFmtId="183" formatCode="\+#,##0.0;\-#,##0.0"/>
    <numFmt numFmtId="184" formatCode="_-* #,##0.0\ _₽_-;\-* #,##0.0\ _₽_-;_-* &quot;-&quot;?\ _₽_-;_-@_-"/>
    <numFmt numFmtId="185" formatCode="0.0%"/>
    <numFmt numFmtId="186" formatCode="_-* #,##0.000_р_._-;\-* #,##0.000_р_._-;_-* &quot;-&quot;??_р_._-;_-@_-"/>
  </numFmts>
  <fonts count="10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5"/>
      <name val="Times New Roman"/>
      <family val="1"/>
      <charset val="204"/>
    </font>
    <font>
      <b/>
      <i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1"/>
      <color indexed="8"/>
      <name val="Calibri"/>
      <family val="2"/>
    </font>
    <font>
      <sz val="15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color indexed="9"/>
      <name val="Calibri"/>
      <family val="2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sz val="10"/>
      <color theme="1"/>
      <name val="Arial Cyr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11"/>
      <color rgb="FF000000"/>
      <name val="Calibri"/>
      <family val="2"/>
      <scheme val="minor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name val="Times New Roman CYR"/>
    </font>
    <font>
      <sz val="12"/>
      <color rgb="FFFA7D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2"/>
      <color rgb="FF006100"/>
      <name val="Calibri"/>
      <family val="2"/>
      <charset val="204"/>
      <scheme val="minor"/>
    </font>
    <font>
      <b/>
      <sz val="15"/>
      <color indexed="8"/>
      <name val="Times New Roman"/>
      <family val="1"/>
      <charset val="204"/>
    </font>
    <font>
      <sz val="15"/>
      <color indexed="9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0"/>
      <name val="Times New Roman"/>
      <family val="1"/>
      <charset val="204"/>
    </font>
    <font>
      <i/>
      <sz val="15"/>
      <color indexed="8"/>
      <name val="Times New Roman"/>
      <family val="1"/>
      <charset val="204"/>
    </font>
    <font>
      <i/>
      <sz val="1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5"/>
      <color theme="1"/>
      <name val="Times New Roman"/>
      <family val="1"/>
      <charset val="204"/>
    </font>
    <font>
      <i/>
      <sz val="15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5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1"/>
      <color indexed="8"/>
      <name val="Times New Roman"/>
      <family val="1"/>
      <charset val="204"/>
    </font>
    <font>
      <b/>
      <i/>
      <sz val="15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12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lightUp">
        <fgColor theme="0"/>
        <bgColor rgb="FFFFFF00"/>
      </patternFill>
    </fill>
    <fill>
      <gradientFill degree="90">
        <stop position="0">
          <color theme="0"/>
        </stop>
        <stop position="0.5">
          <color rgb="FF00FF00"/>
        </stop>
        <stop position="1">
          <color theme="0"/>
        </stop>
      </gradient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59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2" fillId="0" borderId="0"/>
    <xf numFmtId="0" fontId="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33" borderId="9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4" borderId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38" borderId="0" applyNumberFormat="0" applyBorder="0" applyAlignment="0" applyProtection="0"/>
    <xf numFmtId="0" fontId="14" fillId="41" borderId="0" applyNumberFormat="0" applyBorder="0" applyAlignment="0" applyProtection="0"/>
    <xf numFmtId="0" fontId="14" fillId="44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6" fillId="45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1" borderId="0" applyNumberFormat="0" applyBorder="0" applyAlignment="0" applyProtection="0"/>
    <xf numFmtId="0" fontId="6" fillId="50" borderId="0" applyNumberFormat="0" applyBorder="0" applyAlignment="0" applyProtection="0"/>
    <xf numFmtId="0" fontId="6" fillId="52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3" borderId="0" applyNumberFormat="0" applyBorder="0" applyAlignment="0" applyProtection="0"/>
    <xf numFmtId="0" fontId="6" fillId="52" borderId="0" applyNumberFormat="0" applyBorder="0" applyAlignment="0" applyProtection="0"/>
    <xf numFmtId="0" fontId="18" fillId="54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6" fillId="57" borderId="0" applyNumberFormat="0" applyBorder="0" applyAlignment="0" applyProtection="0"/>
    <xf numFmtId="0" fontId="6" fillId="58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8" borderId="0" applyNumberFormat="0" applyBorder="0" applyAlignment="0" applyProtection="0"/>
    <xf numFmtId="0" fontId="6" fillId="60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1" borderId="0" applyNumberFormat="0" applyBorder="0" applyAlignment="0" applyProtection="0"/>
    <xf numFmtId="0" fontId="6" fillId="60" borderId="0" applyNumberFormat="0" applyBorder="0" applyAlignment="0" applyProtection="0"/>
    <xf numFmtId="0" fontId="18" fillId="62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3" borderId="0" applyNumberFormat="0" applyBorder="0" applyAlignment="0" applyProtection="0"/>
    <xf numFmtId="0" fontId="16" fillId="64" borderId="0" applyNumberFormat="0" applyBorder="0" applyAlignment="0" applyProtection="0"/>
    <xf numFmtId="0" fontId="6" fillId="65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6" borderId="0" applyNumberFormat="0" applyBorder="0" applyAlignment="0" applyProtection="0"/>
    <xf numFmtId="0" fontId="6" fillId="65" borderId="0" applyNumberFormat="0" applyBorder="0" applyAlignment="0" applyProtection="0"/>
    <xf numFmtId="0" fontId="6" fillId="61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1" borderId="0" applyNumberFormat="0" applyBorder="0" applyAlignment="0" applyProtection="0"/>
    <xf numFmtId="0" fontId="18" fillId="53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6" fillId="46" borderId="0" applyNumberFormat="0" applyBorder="0" applyAlignment="0" applyProtection="0"/>
    <xf numFmtId="0" fontId="6" fillId="61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59" borderId="0" applyNumberFormat="0" applyBorder="0" applyAlignment="0" applyProtection="0"/>
    <xf numFmtId="0" fontId="6" fillId="61" borderId="0" applyNumberFormat="0" applyBorder="0" applyAlignment="0" applyProtection="0"/>
    <xf numFmtId="0" fontId="6" fillId="53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62" borderId="0" applyNumberFormat="0" applyBorder="0" applyAlignment="0" applyProtection="0"/>
    <xf numFmtId="0" fontId="6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70" borderId="0" applyNumberFormat="0" applyBorder="0" applyAlignment="0" applyProtection="0"/>
    <xf numFmtId="0" fontId="16" fillId="47" borderId="0" applyNumberFormat="0" applyBorder="0" applyAlignment="0" applyProtection="0"/>
    <xf numFmtId="0" fontId="6" fillId="50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65" borderId="0" applyNumberFormat="0" applyBorder="0" applyAlignment="0" applyProtection="0"/>
    <xf numFmtId="0" fontId="6" fillId="50" borderId="0" applyNumberFormat="0" applyBorder="0" applyAlignment="0" applyProtection="0"/>
    <xf numFmtId="0" fontId="6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8" fillId="55" borderId="0" applyNumberFormat="0" applyBorder="0" applyAlignment="0" applyProtection="0"/>
    <xf numFmtId="0" fontId="16" fillId="71" borderId="0" applyNumberFormat="0" applyBorder="0" applyAlignment="0" applyProtection="0"/>
    <xf numFmtId="0" fontId="6" fillId="72" borderId="0" applyNumberFormat="0" applyBorder="0" applyAlignment="0" applyProtection="0"/>
    <xf numFmtId="0" fontId="6" fillId="60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73" borderId="0" applyNumberFormat="0" applyBorder="0" applyAlignment="0" applyProtection="0"/>
    <xf numFmtId="0" fontId="6" fillId="60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5" borderId="0" applyNumberFormat="0" applyBorder="0" applyAlignment="0" applyProtection="0"/>
    <xf numFmtId="0" fontId="19" fillId="0" borderId="0"/>
    <xf numFmtId="49" fontId="13" fillId="37" borderId="8">
      <alignment horizontal="left" vertical="top"/>
      <protection locked="0"/>
    </xf>
    <xf numFmtId="49" fontId="13" fillId="37" borderId="8">
      <alignment horizontal="left" vertical="top"/>
      <protection locked="0"/>
    </xf>
    <xf numFmtId="49" fontId="13" fillId="0" borderId="8">
      <alignment horizontal="left" vertical="top"/>
      <protection locked="0"/>
    </xf>
    <xf numFmtId="49" fontId="13" fillId="0" borderId="8">
      <alignment horizontal="left" vertical="top"/>
      <protection locked="0"/>
    </xf>
    <xf numFmtId="49" fontId="13" fillId="76" borderId="8">
      <alignment horizontal="left" vertical="top"/>
      <protection locked="0"/>
    </xf>
    <xf numFmtId="49" fontId="13" fillId="76" borderId="8">
      <alignment horizontal="left" vertical="top"/>
      <protection locked="0"/>
    </xf>
    <xf numFmtId="0" fontId="13" fillId="0" borderId="0">
      <alignment horizontal="left" vertical="top" wrapText="1"/>
    </xf>
    <xf numFmtId="0" fontId="20" fillId="0" borderId="10">
      <alignment horizontal="left" vertical="top" wrapText="1"/>
    </xf>
    <xf numFmtId="49" fontId="19" fillId="0" borderId="0">
      <alignment horizontal="left" vertical="top" wrapText="1"/>
      <protection locked="0"/>
    </xf>
    <xf numFmtId="0" fontId="21" fillId="0" borderId="0">
      <alignment horizontal="left" vertical="top" wrapText="1"/>
    </xf>
    <xf numFmtId="49" fontId="19" fillId="0" borderId="8">
      <alignment horizontal="center" vertical="top" wrapText="1"/>
      <protection locked="0"/>
    </xf>
    <xf numFmtId="49" fontId="19" fillId="0" borderId="8">
      <alignment horizontal="center" vertical="top" wrapText="1"/>
      <protection locked="0"/>
    </xf>
    <xf numFmtId="49" fontId="13" fillId="0" borderId="0">
      <alignment horizontal="right" vertical="top"/>
      <protection locked="0"/>
    </xf>
    <xf numFmtId="49" fontId="13" fillId="37" borderId="8">
      <alignment horizontal="right" vertical="top"/>
      <protection locked="0"/>
    </xf>
    <xf numFmtId="49" fontId="13" fillId="37" borderId="8">
      <alignment horizontal="right" vertical="top"/>
      <protection locked="0"/>
    </xf>
    <xf numFmtId="0" fontId="13" fillId="37" borderId="8">
      <alignment horizontal="right" vertical="top"/>
      <protection locked="0"/>
    </xf>
    <xf numFmtId="0" fontId="13" fillId="37" borderId="8">
      <alignment horizontal="right" vertical="top"/>
      <protection locked="0"/>
    </xf>
    <xf numFmtId="49" fontId="13" fillId="0" borderId="8">
      <alignment horizontal="right" vertical="top"/>
      <protection locked="0"/>
    </xf>
    <xf numFmtId="49" fontId="13" fillId="0" borderId="8">
      <alignment horizontal="right" vertical="top"/>
      <protection locked="0"/>
    </xf>
    <xf numFmtId="0" fontId="13" fillId="0" borderId="8">
      <alignment horizontal="right" vertical="top"/>
      <protection locked="0"/>
    </xf>
    <xf numFmtId="0" fontId="13" fillId="0" borderId="8">
      <alignment horizontal="right" vertical="top"/>
      <protection locked="0"/>
    </xf>
    <xf numFmtId="49" fontId="13" fillId="76" borderId="8">
      <alignment horizontal="right" vertical="top"/>
      <protection locked="0"/>
    </xf>
    <xf numFmtId="49" fontId="13" fillId="76" borderId="8">
      <alignment horizontal="right" vertical="top"/>
      <protection locked="0"/>
    </xf>
    <xf numFmtId="0" fontId="13" fillId="76" borderId="8">
      <alignment horizontal="right" vertical="top"/>
      <protection locked="0"/>
    </xf>
    <xf numFmtId="0" fontId="13" fillId="76" borderId="8">
      <alignment horizontal="right" vertical="top"/>
      <protection locked="0"/>
    </xf>
    <xf numFmtId="49" fontId="19" fillId="0" borderId="0">
      <alignment horizontal="right" vertical="top" wrapText="1"/>
      <protection locked="0"/>
    </xf>
    <xf numFmtId="0" fontId="21" fillId="0" borderId="0">
      <alignment horizontal="right" vertical="top" wrapText="1"/>
    </xf>
    <xf numFmtId="49" fontId="19" fillId="0" borderId="0">
      <alignment horizontal="center" vertical="top" wrapText="1"/>
      <protection locked="0"/>
    </xf>
    <xf numFmtId="0" fontId="20" fillId="0" borderId="10">
      <alignment horizontal="center" vertical="top" wrapText="1"/>
    </xf>
    <xf numFmtId="49" fontId="13" fillId="0" borderId="8">
      <alignment horizontal="center" vertical="top" wrapText="1"/>
      <protection locked="0"/>
    </xf>
    <xf numFmtId="49" fontId="13" fillId="0" borderId="8">
      <alignment horizontal="center" vertical="top" wrapText="1"/>
      <protection locked="0"/>
    </xf>
    <xf numFmtId="0" fontId="13" fillId="0" borderId="8">
      <alignment horizontal="center" vertical="top" wrapText="1"/>
      <protection locked="0"/>
    </xf>
    <xf numFmtId="0" fontId="13" fillId="0" borderId="8">
      <alignment horizontal="center" vertical="top" wrapText="1"/>
      <protection locked="0"/>
    </xf>
    <xf numFmtId="0" fontId="22" fillId="36" borderId="0" applyNumberFormat="0" applyBorder="0" applyAlignment="0" applyProtection="0"/>
    <xf numFmtId="168" fontId="23" fillId="0" borderId="0" applyFill="0" applyBorder="0" applyAlignment="0"/>
    <xf numFmtId="169" fontId="23" fillId="0" borderId="0" applyFill="0" applyBorder="0" applyAlignment="0"/>
    <xf numFmtId="170" fontId="23" fillId="0" borderId="0" applyFill="0" applyBorder="0" applyAlignment="0"/>
    <xf numFmtId="171" fontId="23" fillId="0" borderId="0" applyFill="0" applyBorder="0" applyAlignment="0"/>
    <xf numFmtId="172" fontId="23" fillId="0" borderId="0" applyFill="0" applyBorder="0" applyAlignment="0"/>
    <xf numFmtId="168" fontId="23" fillId="0" borderId="0" applyFill="0" applyBorder="0" applyAlignment="0"/>
    <xf numFmtId="173" fontId="23" fillId="0" borderId="0" applyFill="0" applyBorder="0" applyAlignment="0"/>
    <xf numFmtId="169" fontId="23" fillId="0" borderId="0" applyFill="0" applyBorder="0" applyAlignment="0"/>
    <xf numFmtId="0" fontId="24" fillId="77" borderId="9" applyNumberFormat="0" applyAlignment="0" applyProtection="0"/>
    <xf numFmtId="0" fontId="25" fillId="78" borderId="11" applyNumberFormat="0" applyAlignment="0" applyProtection="0"/>
    <xf numFmtId="168" fontId="2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9" fontId="26" fillId="0" borderId="0" applyFont="0" applyFill="0" applyBorder="0" applyAlignment="0" applyProtection="0"/>
    <xf numFmtId="0" fontId="19" fillId="0" borderId="0"/>
    <xf numFmtId="0" fontId="19" fillId="0" borderId="0"/>
    <xf numFmtId="14" fontId="23" fillId="0" borderId="0" applyFill="0" applyBorder="0" applyAlignment="0"/>
    <xf numFmtId="0" fontId="27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8" fillId="79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0" borderId="0" applyNumberFormat="0" applyBorder="0" applyAlignment="0" applyProtection="0"/>
    <xf numFmtId="0" fontId="28" fillId="81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2" borderId="0" applyNumberFormat="0" applyBorder="0" applyAlignment="0" applyProtection="0"/>
    <xf numFmtId="0" fontId="28" fillId="83" borderId="0" applyNumberFormat="0" applyBorder="0" applyAlignment="0" applyProtection="0"/>
    <xf numFmtId="168" fontId="29" fillId="0" borderId="0" applyFill="0" applyBorder="0" applyAlignment="0"/>
    <xf numFmtId="169" fontId="29" fillId="0" borderId="0" applyFill="0" applyBorder="0" applyAlignment="0"/>
    <xf numFmtId="168" fontId="29" fillId="0" borderId="0" applyFill="0" applyBorder="0" applyAlignment="0"/>
    <xf numFmtId="173" fontId="29" fillId="0" borderId="0" applyFill="0" applyBorder="0" applyAlignment="0"/>
    <xf numFmtId="169" fontId="29" fillId="0" borderId="0" applyFill="0" applyBorder="0" applyAlignment="0"/>
    <xf numFmtId="0" fontId="30" fillId="0" borderId="0" applyFont="0" applyFill="0" applyBorder="0" applyAlignment="0" applyProtection="0"/>
    <xf numFmtId="176" fontId="31" fillId="0" borderId="0"/>
    <xf numFmtId="0" fontId="32" fillId="0" borderId="0" applyNumberFormat="0" applyFill="0" applyBorder="0" applyAlignment="0" applyProtection="0"/>
    <xf numFmtId="0" fontId="33" fillId="3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6" fillId="67" borderId="0" applyNumberFormat="0" applyBorder="0" applyAlignment="0" applyProtection="0"/>
    <xf numFmtId="0" fontId="34" fillId="0" borderId="12" applyNumberFormat="0" applyAlignment="0" applyProtection="0">
      <alignment horizontal="left" vertical="center"/>
    </xf>
    <xf numFmtId="0" fontId="34" fillId="0" borderId="13">
      <alignment horizontal="left" vertical="center"/>
    </xf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40" borderId="9" applyNumberFormat="0" applyAlignment="0" applyProtection="0"/>
    <xf numFmtId="168" fontId="39" fillId="0" borderId="0" applyFill="0" applyBorder="0" applyAlignment="0"/>
    <xf numFmtId="169" fontId="39" fillId="0" borderId="0" applyFill="0" applyBorder="0" applyAlignment="0"/>
    <xf numFmtId="168" fontId="39" fillId="0" borderId="0" applyFill="0" applyBorder="0" applyAlignment="0"/>
    <xf numFmtId="173" fontId="39" fillId="0" borderId="0" applyFill="0" applyBorder="0" applyAlignment="0"/>
    <xf numFmtId="169" fontId="39" fillId="0" borderId="0" applyFill="0" applyBorder="0" applyAlignment="0"/>
    <xf numFmtId="0" fontId="40" fillId="0" borderId="17" applyNumberFormat="0" applyFill="0" applyAlignment="0" applyProtection="0"/>
    <xf numFmtId="0" fontId="19" fillId="0" borderId="0"/>
    <xf numFmtId="0" fontId="41" fillId="84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42" fillId="73" borderId="0" applyNumberFormat="0" applyBorder="0" applyAlignment="0" applyProtection="0"/>
    <xf numFmtId="0" fontId="13" fillId="0" borderId="7"/>
    <xf numFmtId="0" fontId="43" fillId="0" borderId="0"/>
    <xf numFmtId="0" fontId="14" fillId="0" borderId="0"/>
    <xf numFmtId="0" fontId="44" fillId="85" borderId="0"/>
    <xf numFmtId="0" fontId="44" fillId="85" borderId="0"/>
    <xf numFmtId="0" fontId="19" fillId="0" borderId="0"/>
    <xf numFmtId="0" fontId="10" fillId="0" borderId="0"/>
    <xf numFmtId="0" fontId="14" fillId="86" borderId="18" applyNumberFormat="0" applyFont="0" applyAlignment="0" applyProtection="0"/>
    <xf numFmtId="0" fontId="44" fillId="72" borderId="19" applyNumberFormat="0" applyFont="0" applyAlignment="0" applyProtection="0"/>
    <xf numFmtId="0" fontId="44" fillId="72" borderId="19" applyNumberFormat="0" applyFont="0" applyAlignment="0" applyProtection="0"/>
    <xf numFmtId="0" fontId="44" fillId="72" borderId="19" applyNumberFormat="0" applyFont="0" applyAlignment="0" applyProtection="0"/>
    <xf numFmtId="0" fontId="44" fillId="72" borderId="19" applyNumberFormat="0" applyFont="0" applyAlignment="0" applyProtection="0"/>
    <xf numFmtId="0" fontId="45" fillId="77" borderId="20" applyNumberFormat="0" applyAlignment="0" applyProtection="0"/>
    <xf numFmtId="172" fontId="26" fillId="0" borderId="0" applyFont="0" applyFill="0" applyBorder="0" applyAlignment="0" applyProtection="0"/>
    <xf numFmtId="177" fontId="2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ont="0" applyFill="0" applyBorder="0" applyAlignment="0" applyProtection="0"/>
    <xf numFmtId="168" fontId="46" fillId="0" borderId="0" applyFill="0" applyBorder="0" applyAlignment="0"/>
    <xf numFmtId="169" fontId="46" fillId="0" borderId="0" applyFill="0" applyBorder="0" applyAlignment="0"/>
    <xf numFmtId="168" fontId="46" fillId="0" borderId="0" applyFill="0" applyBorder="0" applyAlignment="0"/>
    <xf numFmtId="173" fontId="46" fillId="0" borderId="0" applyFill="0" applyBorder="0" applyAlignment="0"/>
    <xf numFmtId="169" fontId="46" fillId="0" borderId="0" applyFill="0" applyBorder="0" applyAlignment="0"/>
    <xf numFmtId="4" fontId="23" fillId="87" borderId="20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7" fillId="84" borderId="19" applyNumberFormat="0" applyProtection="0">
      <alignment vertical="center"/>
    </xf>
    <xf numFmtId="4" fontId="48" fillId="87" borderId="20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13" fillId="87" borderId="19" applyNumberFormat="0" applyProtection="0">
      <alignment vertical="center"/>
    </xf>
    <xf numFmtId="4" fontId="23" fillId="87" borderId="20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47" fillId="87" borderId="19" applyNumberFormat="0" applyProtection="0">
      <alignment horizontal="left" vertical="center" indent="1"/>
    </xf>
    <xf numFmtId="4" fontId="23" fillId="87" borderId="20" applyNumberFormat="0" applyProtection="0">
      <alignment horizontal="left" vertical="center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13" fillId="84" borderId="21" applyNumberFormat="0" applyProtection="0">
      <alignment horizontal="left" vertical="top" indent="1"/>
    </xf>
    <xf numFmtId="0" fontId="49" fillId="33" borderId="22" applyNumberFormat="0" applyProtection="0">
      <alignment horizontal="center" vertical="center" wrapTex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23" fillId="88" borderId="20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47" fillId="36" borderId="19" applyNumberFormat="0" applyProtection="0">
      <alignment horizontal="right" vertical="center"/>
    </xf>
    <xf numFmtId="4" fontId="23" fillId="89" borderId="20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47" fillId="90" borderId="19" applyNumberFormat="0" applyProtection="0">
      <alignment horizontal="right" vertical="center"/>
    </xf>
    <xf numFmtId="4" fontId="23" fillId="91" borderId="2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47" fillId="57" borderId="10" applyNumberFormat="0" applyProtection="0">
      <alignment horizontal="right" vertical="center"/>
    </xf>
    <xf numFmtId="4" fontId="23" fillId="92" borderId="20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47" fillId="44" borderId="19" applyNumberFormat="0" applyProtection="0">
      <alignment horizontal="right" vertical="center"/>
    </xf>
    <xf numFmtId="4" fontId="23" fillId="93" borderId="20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47" fillId="48" borderId="19" applyNumberFormat="0" applyProtection="0">
      <alignment horizontal="right" vertical="center"/>
    </xf>
    <xf numFmtId="4" fontId="23" fillId="94" borderId="20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47" fillId="71" borderId="19" applyNumberFormat="0" applyProtection="0">
      <alignment horizontal="right" vertical="center"/>
    </xf>
    <xf numFmtId="4" fontId="23" fillId="95" borderId="20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47" fillId="64" borderId="19" applyNumberFormat="0" applyProtection="0">
      <alignment horizontal="right" vertical="center"/>
    </xf>
    <xf numFmtId="4" fontId="23" fillId="96" borderId="20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47" fillId="97" borderId="19" applyNumberFormat="0" applyProtection="0">
      <alignment horizontal="right" vertical="center"/>
    </xf>
    <xf numFmtId="4" fontId="23" fillId="98" borderId="20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47" fillId="43" borderId="19" applyNumberFormat="0" applyProtection="0">
      <alignment horizontal="right" vertical="center"/>
    </xf>
    <xf numFmtId="4" fontId="50" fillId="99" borderId="2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47" fillId="100" borderId="10" applyNumberFormat="0" applyProtection="0">
      <alignment horizontal="left" vertical="center" indent="1"/>
    </xf>
    <xf numFmtId="4" fontId="23" fillId="101" borderId="23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51" fillId="103" borderId="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4" fontId="26" fillId="102" borderId="10" applyNumberFormat="0" applyProtection="0">
      <alignment horizontal="left" vertical="center" indent="1"/>
    </xf>
    <xf numFmtId="0" fontId="2" fillId="33" borderId="22" applyNumberFormat="0" applyProtection="0">
      <alignment horizontal="left" vertical="center" indent="1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47" fillId="104" borderId="19" applyNumberFormat="0" applyProtection="0">
      <alignment horizontal="right" vertical="center"/>
    </xf>
    <xf numFmtId="4" fontId="52" fillId="101" borderId="22" applyNumberFormat="0" applyProtection="0">
      <alignment horizontal="left" vertical="center" wrapText="1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47" fillId="105" borderId="10" applyNumberFormat="0" applyProtection="0">
      <alignment horizontal="left" vertical="center" indent="1"/>
    </xf>
    <xf numFmtId="4" fontId="52" fillId="106" borderId="22" applyNumberFormat="0" applyProtection="0">
      <alignment horizontal="left" vertical="center" wrapText="1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4" fontId="47" fillId="104" borderId="10" applyNumberFormat="0" applyProtection="0">
      <alignment horizontal="left" vertical="center" indent="1"/>
    </xf>
    <xf numFmtId="0" fontId="2" fillId="107" borderId="22" applyNumberFormat="0" applyProtection="0">
      <alignment horizontal="left" vertical="center" wrapText="1" indent="2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47" fillId="77" borderId="19" applyNumberFormat="0" applyProtection="0">
      <alignment horizontal="left" vertical="center" indent="1"/>
    </xf>
    <xf numFmtId="0" fontId="2" fillId="102" borderId="21" applyNumberFormat="0" applyProtection="0">
      <alignment horizontal="left" vertical="center" indent="1"/>
    </xf>
    <xf numFmtId="0" fontId="53" fillId="106" borderId="22" applyNumberFormat="0" applyProtection="0">
      <alignment horizontal="center" vertical="center" wrapTex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44" fillId="102" borderId="21" applyNumberFormat="0" applyProtection="0">
      <alignment horizontal="left" vertical="top" indent="1"/>
    </xf>
    <xf numFmtId="0" fontId="2" fillId="102" borderId="21" applyNumberFormat="0" applyProtection="0">
      <alignment horizontal="left" vertical="top" indent="1"/>
    </xf>
    <xf numFmtId="0" fontId="2" fillId="108" borderId="22" applyNumberFormat="0" applyProtection="0">
      <alignment horizontal="left" vertical="center" wrapText="1" indent="4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47" fillId="109" borderId="19" applyNumberFormat="0" applyProtection="0">
      <alignment horizontal="left" vertical="center" indent="1"/>
    </xf>
    <xf numFmtId="0" fontId="2" fillId="104" borderId="21" applyNumberFormat="0" applyProtection="0">
      <alignment horizontal="left" vertical="center" indent="1"/>
    </xf>
    <xf numFmtId="0" fontId="53" fillId="110" borderId="22" applyNumberFormat="0" applyProtection="0">
      <alignment horizontal="center" vertical="center" wrapTex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44" fillId="104" borderId="21" applyNumberFormat="0" applyProtection="0">
      <alignment horizontal="left" vertical="top" indent="1"/>
    </xf>
    <xf numFmtId="0" fontId="2" fillId="104" borderId="21" applyNumberFormat="0" applyProtection="0">
      <alignment horizontal="left" vertical="top" indent="1"/>
    </xf>
    <xf numFmtId="0" fontId="2" fillId="111" borderId="22" applyNumberFormat="0" applyProtection="0">
      <alignment horizontal="left" vertical="center" wrapText="1" indent="6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47" fillId="41" borderId="19" applyNumberFormat="0" applyProtection="0">
      <alignment horizontal="left" vertical="center" indent="1"/>
    </xf>
    <xf numFmtId="0" fontId="2" fillId="112" borderId="20" applyNumberFormat="0" applyProtection="0">
      <alignment horizontal="left" vertical="center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44" fillId="41" borderId="21" applyNumberFormat="0" applyProtection="0">
      <alignment horizontal="left" vertical="top" indent="1"/>
    </xf>
    <xf numFmtId="0" fontId="2" fillId="41" borderId="21" applyNumberFormat="0" applyProtection="0">
      <alignment horizontal="left" vertical="top" indent="1"/>
    </xf>
    <xf numFmtId="0" fontId="2" fillId="0" borderId="22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47" fillId="105" borderId="19" applyNumberFormat="0" applyProtection="0">
      <alignment horizontal="left" vertical="center" indent="1"/>
    </xf>
    <xf numFmtId="0" fontId="2" fillId="33" borderId="20" applyNumberFormat="0" applyProtection="0">
      <alignment horizontal="left" vertical="center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44" fillId="105" borderId="21" applyNumberFormat="0" applyProtection="0">
      <alignment horizontal="left" vertical="top" indent="1"/>
    </xf>
    <xf numFmtId="0" fontId="2" fillId="105" borderId="21" applyNumberFormat="0" applyProtection="0">
      <alignment horizontal="left" vertical="top" indent="1"/>
    </xf>
    <xf numFmtId="0" fontId="2" fillId="113" borderId="8" applyNumberFormat="0">
      <protection locked="0"/>
    </xf>
    <xf numFmtId="0" fontId="2" fillId="113" borderId="8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44" fillId="113" borderId="24" applyNumberFormat="0">
      <protection locked="0"/>
    </xf>
    <xf numFmtId="0" fontId="2" fillId="113" borderId="8" applyNumberFormat="0">
      <protection locked="0"/>
    </xf>
    <xf numFmtId="0" fontId="54" fillId="102" borderId="25" applyBorder="0"/>
    <xf numFmtId="4" fontId="23" fillId="114" borderId="20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55" fillId="86" borderId="21" applyNumberFormat="0" applyProtection="0">
      <alignment vertical="center"/>
    </xf>
    <xf numFmtId="4" fontId="48" fillId="114" borderId="20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13" fillId="114" borderId="8" applyNumberFormat="0" applyProtection="0">
      <alignment vertical="center"/>
    </xf>
    <xf numFmtId="4" fontId="23" fillId="114" borderId="20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55" fillId="77" borderId="21" applyNumberFormat="0" applyProtection="0">
      <alignment horizontal="left" vertical="center" indent="1"/>
    </xf>
    <xf numFmtId="4" fontId="23" fillId="114" borderId="20" applyNumberFormat="0" applyProtection="0">
      <alignment horizontal="left" vertical="center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0" fontId="55" fillId="86" borderId="21" applyNumberFormat="0" applyProtection="0">
      <alignment horizontal="left" vertical="top" indent="1"/>
    </xf>
    <xf numFmtId="4" fontId="23" fillId="101" borderId="20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7" fillId="0" borderId="19" applyNumberFormat="0" applyProtection="0">
      <alignment horizontal="right" vertical="center"/>
    </xf>
    <xf numFmtId="4" fontId="48" fillId="101" borderId="20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4" fontId="13" fillId="115" borderId="19" applyNumberFormat="0" applyProtection="0">
      <alignment horizontal="right" vertical="center"/>
    </xf>
    <xf numFmtId="0" fontId="2" fillId="33" borderId="26" applyNumberFormat="0" applyProtection="0">
      <alignment horizontal="left" vertical="center" wrapTex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4" fontId="47" fillId="47" borderId="19" applyNumberFormat="0" applyProtection="0">
      <alignment horizontal="left" vertical="center" indent="1"/>
    </xf>
    <xf numFmtId="0" fontId="53" fillId="40" borderId="22" applyNumberFormat="0" applyProtection="0">
      <alignment horizontal="center" vertical="center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5" fillId="104" borderId="21" applyNumberFormat="0" applyProtection="0">
      <alignment horizontal="left" vertical="top" indent="1"/>
    </xf>
    <xf numFmtId="0" fontId="56" fillId="0" borderId="0" applyNumberFormat="0" applyProtection="0"/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4" fontId="13" fillId="116" borderId="10" applyNumberFormat="0" applyProtection="0">
      <alignment horizontal="left" vertical="center" indent="1"/>
    </xf>
    <xf numFmtId="0" fontId="47" fillId="117" borderId="8"/>
    <xf numFmtId="0" fontId="47" fillId="117" borderId="8"/>
    <xf numFmtId="4" fontId="46" fillId="101" borderId="20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4" fontId="13" fillId="113" borderId="19" applyNumberFormat="0" applyProtection="0">
      <alignment horizontal="right" vertical="center"/>
    </xf>
    <xf numFmtId="0" fontId="13" fillId="0" borderId="0" applyNumberFormat="0" applyFill="0" applyBorder="0" applyAlignment="0" applyProtection="0"/>
    <xf numFmtId="2" fontId="57" fillId="118" borderId="27" applyProtection="0"/>
    <xf numFmtId="2" fontId="57" fillId="118" borderId="27" applyProtection="0"/>
    <xf numFmtId="2" fontId="58" fillId="0" borderId="0" applyFill="0" applyBorder="0" applyProtection="0"/>
    <xf numFmtId="2" fontId="12" fillId="0" borderId="0" applyFill="0" applyBorder="0" applyProtection="0"/>
    <xf numFmtId="2" fontId="12" fillId="119" borderId="27" applyProtection="0"/>
    <xf numFmtId="2" fontId="12" fillId="120" borderId="27" applyProtection="0"/>
    <xf numFmtId="2" fontId="12" fillId="121" borderId="27" applyProtection="0"/>
    <xf numFmtId="2" fontId="12" fillId="121" borderId="27" applyProtection="0">
      <alignment horizontal="center"/>
    </xf>
    <xf numFmtId="2" fontId="12" fillId="120" borderId="27" applyProtection="0">
      <alignment horizontal="center"/>
    </xf>
    <xf numFmtId="49" fontId="23" fillId="0" borderId="0" applyFill="0" applyBorder="0" applyAlignment="0"/>
    <xf numFmtId="178" fontId="23" fillId="0" borderId="0" applyFill="0" applyBorder="0" applyAlignment="0"/>
    <xf numFmtId="179" fontId="23" fillId="0" borderId="0" applyFill="0" applyBorder="0" applyAlignment="0"/>
    <xf numFmtId="0" fontId="13" fillId="0" borderId="10">
      <alignment horizontal="left" vertical="top" wrapText="1"/>
    </xf>
    <xf numFmtId="0" fontId="59" fillId="0" borderId="0" applyNumberFormat="0" applyFill="0" applyBorder="0" applyAlignment="0" applyProtection="0"/>
    <xf numFmtId="0" fontId="60" fillId="0" borderId="28" applyNumberFormat="0" applyFill="0" applyAlignment="0" applyProtection="0"/>
    <xf numFmtId="0" fontId="61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62" fillId="5" borderId="1" applyNumberFormat="0" applyAlignment="0" applyProtection="0"/>
    <xf numFmtId="0" fontId="63" fillId="6" borderId="2" applyNumberFormat="0" applyAlignment="0" applyProtection="0"/>
    <xf numFmtId="0" fontId="64" fillId="6" borderId="1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5" fontId="19" fillId="0" borderId="0" applyFont="0" applyFill="0" applyBorder="0" applyAlignment="0" applyProtection="0"/>
    <xf numFmtId="0" fontId="68" fillId="0" borderId="6" applyNumberFormat="0" applyFill="0" applyAlignment="0" applyProtection="0"/>
    <xf numFmtId="0" fontId="69" fillId="7" borderId="4" applyNumberFormat="0" applyAlignment="0" applyProtection="0"/>
    <xf numFmtId="0" fontId="70" fillId="4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14" fillId="0" borderId="0"/>
    <xf numFmtId="0" fontId="14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2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71" fillId="0" borderId="0"/>
    <xf numFmtId="0" fontId="19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3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74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71" fillId="0" borderId="0"/>
    <xf numFmtId="0" fontId="1" fillId="0" borderId="0"/>
    <xf numFmtId="0" fontId="1" fillId="0" borderId="0"/>
    <xf numFmtId="0" fontId="76" fillId="3" borderId="0" applyNumberFormat="0" applyBorder="0" applyAlignment="0" applyProtection="0"/>
    <xf numFmtId="0" fontId="77" fillId="0" borderId="0" applyNumberFormat="0" applyFill="0" applyBorder="0" applyAlignment="0" applyProtection="0"/>
    <xf numFmtId="0" fontId="78" fillId="8" borderId="5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9" fillId="0" borderId="29"/>
    <xf numFmtId="0" fontId="80" fillId="0" borderId="3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1" fillId="122" borderId="30" applyBorder="0"/>
    <xf numFmtId="166" fontId="82" fillId="123" borderId="29" applyBorder="0" applyAlignment="0">
      <alignment horizontal="center"/>
    </xf>
    <xf numFmtId="4" fontId="81" fillId="0" borderId="30" applyBorder="0"/>
    <xf numFmtId="0" fontId="9" fillId="0" borderId="31" applyBorder="0" applyAlignment="0">
      <alignment horizontal="left" wrapText="1"/>
    </xf>
    <xf numFmtId="0" fontId="83" fillId="0" borderId="0" applyNumberFormat="0" applyFill="0" applyBorder="0" applyAlignment="0" applyProtection="0"/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8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80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80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80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6" fillId="0" borderId="0" applyFont="0" applyFill="0" applyBorder="0" applyAlignment="0" applyProtection="0"/>
    <xf numFmtId="180" fontId="85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7" fillId="0" borderId="0"/>
    <xf numFmtId="181" fontId="2" fillId="0" borderId="0" applyFill="0" applyBorder="0" applyAlignment="0" applyProtection="0"/>
    <xf numFmtId="182" fontId="9" fillId="0" borderId="0" applyFill="0" applyBorder="0" applyAlignment="0" applyProtection="0"/>
    <xf numFmtId="180" fontId="2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86" fillId="2" borderId="0" applyNumberFormat="0" applyBorder="0" applyAlignment="0" applyProtection="0"/>
    <xf numFmtId="166" fontId="1" fillId="0" borderId="0" applyFont="0" applyFill="0" applyBorder="0" applyAlignment="0" applyProtection="0"/>
    <xf numFmtId="166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03" fillId="0" borderId="0"/>
    <xf numFmtId="0" fontId="14" fillId="8" borderId="5" applyNumberFormat="0" applyFont="0" applyAlignment="0" applyProtection="0"/>
    <xf numFmtId="166" fontId="14" fillId="0" borderId="0" applyFont="0" applyFill="0" applyBorder="0" applyAlignment="0" applyProtection="0"/>
    <xf numFmtId="166" fontId="103" fillId="0" borderId="0" applyFont="0" applyFill="0" applyBorder="0" applyAlignment="0" applyProtection="0"/>
  </cellStyleXfs>
  <cellXfs count="229">
    <xf numFmtId="0" fontId="0" fillId="0" borderId="0" xfId="0"/>
    <xf numFmtId="0" fontId="5" fillId="0" borderId="0" xfId="4" applyFont="1" applyFill="1" applyAlignment="1">
      <alignment horizontal="center" vertical="center" wrapText="1"/>
    </xf>
    <xf numFmtId="167" fontId="5" fillId="0" borderId="0" xfId="2" applyNumberFormat="1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167" fontId="87" fillId="0" borderId="7" xfId="783" applyNumberFormat="1" applyFont="1" applyFill="1" applyBorder="1" applyAlignment="1">
      <alignment horizontal="center" vertical="center" wrapText="1"/>
    </xf>
    <xf numFmtId="0" fontId="7" fillId="0" borderId="0" xfId="720" applyFont="1" applyFill="1" applyAlignment="1">
      <alignment horizontal="center" vertical="center" wrapText="1"/>
    </xf>
    <xf numFmtId="0" fontId="7" fillId="0" borderId="7" xfId="720" applyFont="1" applyFill="1" applyBorder="1" applyAlignment="1">
      <alignment horizontal="left" vertical="center" wrapText="1"/>
    </xf>
    <xf numFmtId="167" fontId="7" fillId="0" borderId="7" xfId="783" applyNumberFormat="1" applyFont="1" applyFill="1" applyBorder="1" applyAlignment="1">
      <alignment horizontal="center" vertical="center" wrapText="1"/>
    </xf>
    <xf numFmtId="0" fontId="87" fillId="0" borderId="0" xfId="720" applyFont="1" applyFill="1" applyAlignment="1">
      <alignment vertical="center" wrapText="1"/>
    </xf>
    <xf numFmtId="167" fontId="87" fillId="0" borderId="7" xfId="783" applyNumberFormat="1" applyFont="1" applyFill="1" applyBorder="1" applyAlignment="1">
      <alignment vertical="center" wrapText="1"/>
    </xf>
    <xf numFmtId="0" fontId="88" fillId="0" borderId="0" xfId="720" applyFont="1" applyFill="1"/>
    <xf numFmtId="167" fontId="88" fillId="0" borderId="0" xfId="783" applyNumberFormat="1" applyFont="1" applyFill="1"/>
    <xf numFmtId="0" fontId="87" fillId="0" borderId="0" xfId="720" applyFont="1" applyFill="1"/>
    <xf numFmtId="0" fontId="87" fillId="0" borderId="0" xfId="720" applyFont="1" applyFill="1" applyAlignment="1">
      <alignment wrapText="1"/>
    </xf>
    <xf numFmtId="0" fontId="87" fillId="0" borderId="0" xfId="720" applyFont="1" applyFill="1" applyAlignment="1">
      <alignment horizontal="left" vertical="center" wrapText="1"/>
    </xf>
    <xf numFmtId="167" fontId="7" fillId="0" borderId="0" xfId="783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91" fillId="0" borderId="0" xfId="720" applyFont="1" applyFill="1"/>
    <xf numFmtId="167" fontId="91" fillId="0" borderId="0" xfId="783" applyNumberFormat="1" applyFont="1" applyFill="1"/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89" fillId="0" borderId="0" xfId="720" applyFont="1" applyFill="1" applyAlignment="1">
      <alignment horizontal="center" vertical="center" wrapText="1"/>
    </xf>
    <xf numFmtId="167" fontId="89" fillId="0" borderId="0" xfId="783" applyNumberFormat="1" applyFont="1" applyFill="1" applyAlignment="1">
      <alignment horizontal="center" vertical="center" wrapText="1"/>
    </xf>
    <xf numFmtId="0" fontId="90" fillId="0" borderId="0" xfId="720" applyFont="1" applyFill="1" applyAlignment="1">
      <alignment horizontal="center" vertical="center" wrapText="1"/>
    </xf>
    <xf numFmtId="167" fontId="90" fillId="0" borderId="7" xfId="783" applyNumberFormat="1" applyFont="1" applyFill="1" applyBorder="1" applyAlignment="1">
      <alignment horizontal="center" vertical="center" wrapText="1"/>
    </xf>
    <xf numFmtId="0" fontId="90" fillId="0" borderId="7" xfId="720" applyFont="1" applyFill="1" applyBorder="1" applyAlignment="1">
      <alignment horizontal="center" vertical="center" wrapText="1"/>
    </xf>
    <xf numFmtId="167" fontId="7" fillId="0" borderId="0" xfId="783" applyNumberFormat="1" applyFont="1" applyFill="1"/>
    <xf numFmtId="0" fontId="5" fillId="0" borderId="0" xfId="1" applyFont="1" applyFill="1" applyAlignment="1">
      <alignment horizontal="center" vertical="center" wrapText="1"/>
    </xf>
    <xf numFmtId="167" fontId="90" fillId="0" borderId="7" xfId="844" applyNumberFormat="1" applyFont="1" applyFill="1" applyBorder="1" applyAlignment="1">
      <alignment horizontal="center" vertical="center" wrapText="1"/>
    </xf>
    <xf numFmtId="167" fontId="89" fillId="0" borderId="0" xfId="844" applyNumberFormat="1" applyFont="1" applyFill="1" applyAlignment="1">
      <alignment horizontal="center" vertical="center" wrapText="1"/>
    </xf>
    <xf numFmtId="167" fontId="91" fillId="0" borderId="0" xfId="844" applyNumberFormat="1" applyFont="1" applyFill="1" applyAlignment="1">
      <alignment horizontal="center" vertical="center" wrapText="1"/>
    </xf>
    <xf numFmtId="0" fontId="7" fillId="0" borderId="0" xfId="720" applyFont="1" applyFill="1"/>
    <xf numFmtId="0" fontId="3" fillId="0" borderId="0" xfId="4" applyFont="1" applyFill="1" applyAlignment="1">
      <alignment horizontal="center" vertical="center" wrapText="1"/>
    </xf>
    <xf numFmtId="0" fontId="87" fillId="0" borderId="7" xfId="720" applyFont="1" applyFill="1" applyBorder="1" applyAlignment="1">
      <alignment horizontal="center" vertical="center" wrapText="1"/>
    </xf>
    <xf numFmtId="167" fontId="87" fillId="0" borderId="0" xfId="783" applyNumberFormat="1" applyFont="1" applyFill="1" applyAlignment="1">
      <alignment vertical="center" wrapText="1"/>
    </xf>
    <xf numFmtId="167" fontId="5" fillId="0" borderId="0" xfId="783" applyNumberFormat="1" applyFont="1" applyFill="1"/>
    <xf numFmtId="0" fontId="3" fillId="0" borderId="7" xfId="4" applyFont="1" applyFill="1" applyBorder="1" applyAlignment="1">
      <alignment horizontal="center" vertical="center" wrapText="1"/>
    </xf>
    <xf numFmtId="0" fontId="89" fillId="0" borderId="0" xfId="0" applyFont="1" applyFill="1" applyAlignment="1">
      <alignment horizontal="center" vertical="center" wrapText="1"/>
    </xf>
    <xf numFmtId="0" fontId="90" fillId="0" borderId="7" xfId="0" applyFont="1" applyFill="1" applyBorder="1" applyAlignment="1">
      <alignment horizontal="center" vertical="center" wrapText="1"/>
    </xf>
    <xf numFmtId="0" fontId="91" fillId="0" borderId="0" xfId="0" applyFont="1" applyFill="1" applyAlignment="1">
      <alignment horizontal="center" vertical="center" wrapText="1"/>
    </xf>
    <xf numFmtId="167" fontId="5" fillId="0" borderId="0" xfId="844" applyNumberFormat="1" applyFont="1" applyFill="1" applyAlignment="1">
      <alignment horizontal="center" vertical="center" wrapText="1"/>
    </xf>
    <xf numFmtId="167" fontId="7" fillId="0" borderId="0" xfId="844" applyNumberFormat="1" applyFont="1" applyFill="1" applyAlignment="1">
      <alignment horizontal="center" vertical="center" wrapText="1"/>
    </xf>
    <xf numFmtId="4" fontId="7" fillId="0" borderId="0" xfId="720" applyNumberFormat="1" applyFont="1" applyFill="1" applyAlignment="1">
      <alignment horizontal="center" vertical="center" wrapText="1"/>
    </xf>
    <xf numFmtId="0" fontId="5" fillId="0" borderId="0" xfId="626" applyFont="1" applyFill="1" applyBorder="1" applyAlignment="1">
      <alignment horizontal="center" vertical="center" wrapText="1"/>
    </xf>
    <xf numFmtId="0" fontId="3" fillId="0" borderId="7" xfId="626" applyFont="1" applyFill="1" applyBorder="1" applyAlignment="1">
      <alignment horizontal="center" vertical="center" wrapText="1"/>
    </xf>
    <xf numFmtId="0" fontId="3" fillId="0" borderId="0" xfId="626" applyFont="1" applyFill="1" applyBorder="1" applyAlignment="1">
      <alignment horizontal="center" vertical="center" wrapText="1"/>
    </xf>
    <xf numFmtId="0" fontId="96" fillId="0" borderId="7" xfId="626" applyFont="1" applyFill="1" applyBorder="1" applyAlignment="1">
      <alignment horizontal="right" vertical="center" wrapText="1"/>
    </xf>
    <xf numFmtId="0" fontId="96" fillId="0" borderId="0" xfId="626" applyFont="1" applyFill="1" applyBorder="1" applyAlignment="1">
      <alignment horizontal="right" vertical="center" wrapText="1"/>
    </xf>
    <xf numFmtId="0" fontId="5" fillId="0" borderId="7" xfId="626" applyFont="1" applyFill="1" applyBorder="1" applyAlignment="1">
      <alignment horizontal="left" vertical="center" wrapText="1"/>
    </xf>
    <xf numFmtId="167" fontId="5" fillId="0" borderId="0" xfId="844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49" fontId="87" fillId="0" borderId="7" xfId="783" applyNumberFormat="1" applyFont="1" applyFill="1" applyBorder="1" applyAlignment="1">
      <alignment horizontal="center" vertical="center" wrapText="1"/>
    </xf>
    <xf numFmtId="167" fontId="5" fillId="0" borderId="7" xfId="2" applyNumberFormat="1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left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89" fillId="0" borderId="7" xfId="0" applyFont="1" applyFill="1" applyBorder="1" applyAlignment="1">
      <alignment horizontal="left" vertical="center" wrapText="1"/>
    </xf>
    <xf numFmtId="0" fontId="89" fillId="0" borderId="7" xfId="0" applyFont="1" applyFill="1" applyBorder="1" applyAlignment="1">
      <alignment horizontal="center" vertical="center" wrapText="1"/>
    </xf>
    <xf numFmtId="167" fontId="89" fillId="0" borderId="7" xfId="844" applyNumberFormat="1" applyFont="1" applyFill="1" applyBorder="1" applyAlignment="1">
      <alignment horizontal="center" vertical="center" wrapText="1"/>
    </xf>
    <xf numFmtId="0" fontId="7" fillId="0" borderId="0" xfId="720" applyFont="1" applyFill="1" applyAlignment="1">
      <alignment horizontal="center"/>
    </xf>
    <xf numFmtId="0" fontId="91" fillId="0" borderId="0" xfId="720" applyFont="1" applyFill="1" applyAlignment="1">
      <alignment horizontal="center" vertical="center"/>
    </xf>
    <xf numFmtId="0" fontId="88" fillId="0" borderId="0" xfId="720" applyFont="1" applyFill="1" applyAlignment="1">
      <alignment horizontal="center" vertical="center"/>
    </xf>
    <xf numFmtId="0" fontId="7" fillId="0" borderId="0" xfId="720" applyFont="1" applyFill="1" applyAlignment="1">
      <alignment horizontal="center" vertical="center"/>
    </xf>
    <xf numFmtId="167" fontId="5" fillId="0" borderId="0" xfId="2" applyNumberFormat="1" applyFont="1" applyFill="1" applyAlignment="1">
      <alignment horizontal="center" vertical="center"/>
    </xf>
    <xf numFmtId="0" fontId="87" fillId="0" borderId="7" xfId="720" applyFont="1" applyFill="1" applyBorder="1" applyAlignment="1">
      <alignment horizontal="center" vertical="center"/>
    </xf>
    <xf numFmtId="0" fontId="87" fillId="0" borderId="0" xfId="720" applyFont="1" applyFill="1" applyAlignment="1">
      <alignment horizontal="center" vertical="center"/>
    </xf>
    <xf numFmtId="0" fontId="7" fillId="0" borderId="7" xfId="720" applyFont="1" applyFill="1" applyBorder="1" applyAlignment="1">
      <alignment horizontal="center" vertical="center"/>
    </xf>
    <xf numFmtId="0" fontId="97" fillId="0" borderId="7" xfId="0" applyFont="1" applyFill="1" applyBorder="1" applyAlignment="1">
      <alignment horizontal="left" vertical="center" wrapText="1"/>
    </xf>
    <xf numFmtId="0" fontId="97" fillId="0" borderId="7" xfId="0" applyFont="1" applyFill="1" applyBorder="1" applyAlignment="1">
      <alignment horizontal="center" vertical="center"/>
    </xf>
    <xf numFmtId="0" fontId="7" fillId="0" borderId="7" xfId="720" applyFont="1" applyFill="1" applyBorder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167" fontId="3" fillId="0" borderId="7" xfId="844" applyNumberFormat="1" applyFont="1" applyFill="1" applyBorder="1" applyAlignment="1">
      <alignment horizontal="center" vertical="center" wrapText="1"/>
    </xf>
    <xf numFmtId="167" fontId="96" fillId="0" borderId="7" xfId="844" applyNumberFormat="1" applyFont="1" applyFill="1" applyBorder="1" applyAlignment="1">
      <alignment horizontal="right" vertical="center" wrapText="1"/>
    </xf>
    <xf numFmtId="167" fontId="3" fillId="0" borderId="0" xfId="844" applyNumberFormat="1" applyFont="1" applyFill="1" applyBorder="1" applyAlignment="1">
      <alignment horizontal="center" vertical="center" wrapText="1"/>
    </xf>
    <xf numFmtId="167" fontId="5" fillId="0" borderId="7" xfId="844" applyNumberFormat="1" applyFont="1" applyFill="1" applyBorder="1" applyAlignment="1">
      <alignment horizontal="center" vertical="center" wrapText="1"/>
    </xf>
    <xf numFmtId="0" fontId="98" fillId="0" borderId="7" xfId="626" applyFont="1" applyFill="1" applyBorder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83" fontId="7" fillId="0" borderId="7" xfId="783" applyNumberFormat="1" applyFont="1" applyFill="1" applyBorder="1" applyAlignment="1">
      <alignment horizontal="center" vertical="center" wrapText="1"/>
    </xf>
    <xf numFmtId="183" fontId="87" fillId="0" borderId="7" xfId="783" applyNumberFormat="1" applyFont="1" applyFill="1" applyBorder="1" applyAlignment="1">
      <alignment horizontal="center" vertical="center" wrapText="1"/>
    </xf>
    <xf numFmtId="0" fontId="89" fillId="0" borderId="7" xfId="0" applyFont="1" applyFill="1" applyBorder="1" applyAlignment="1">
      <alignment horizontal="center" vertical="center"/>
    </xf>
    <xf numFmtId="167" fontId="7" fillId="0" borderId="7" xfId="783" applyNumberFormat="1" applyFont="1" applyFill="1" applyBorder="1" applyAlignment="1">
      <alignment horizontal="center" vertical="center"/>
    </xf>
    <xf numFmtId="167" fontId="87" fillId="0" borderId="7" xfId="783" applyNumberFormat="1" applyFont="1" applyFill="1" applyBorder="1" applyAlignment="1">
      <alignment horizontal="center" vertical="center"/>
    </xf>
    <xf numFmtId="0" fontId="87" fillId="0" borderId="0" xfId="720" applyFont="1" applyFill="1" applyAlignment="1">
      <alignment horizontal="center"/>
    </xf>
    <xf numFmtId="4" fontId="89" fillId="0" borderId="0" xfId="0" applyNumberFormat="1" applyFont="1" applyFill="1" applyAlignment="1">
      <alignment horizontal="center" vertical="center" wrapText="1"/>
    </xf>
    <xf numFmtId="4" fontId="89" fillId="0" borderId="0" xfId="720" applyNumberFormat="1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0" fontId="90" fillId="0" borderId="0" xfId="0" applyFont="1" applyFill="1" applyAlignment="1">
      <alignment horizontal="center" vertical="center" wrapText="1"/>
    </xf>
    <xf numFmtId="0" fontId="90" fillId="0" borderId="0" xfId="720" applyFont="1" applyFill="1" applyAlignment="1">
      <alignment horizontal="left" vertical="center" wrapText="1"/>
    </xf>
    <xf numFmtId="0" fontId="90" fillId="0" borderId="0" xfId="0" applyFont="1" applyFill="1" applyAlignment="1">
      <alignment horizontal="center" vertical="center" wrapText="1"/>
    </xf>
    <xf numFmtId="0" fontId="89" fillId="0" borderId="7" xfId="720" applyFont="1" applyFill="1" applyBorder="1" applyAlignment="1">
      <alignment horizontal="center" vertical="center" wrapText="1"/>
    </xf>
    <xf numFmtId="167" fontId="89" fillId="0" borderId="7" xfId="783" applyNumberFormat="1" applyFont="1" applyFill="1" applyBorder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0" fontId="87" fillId="0" borderId="0" xfId="720" applyFont="1" applyFill="1" applyBorder="1" applyAlignment="1">
      <alignment horizontal="center" vertical="center" wrapText="1"/>
    </xf>
    <xf numFmtId="183" fontId="3" fillId="0" borderId="7" xfId="844" applyNumberFormat="1" applyFont="1" applyFill="1" applyBorder="1" applyAlignment="1">
      <alignment horizontal="center" vertical="center" wrapText="1"/>
    </xf>
    <xf numFmtId="183" fontId="5" fillId="0" borderId="7" xfId="844" applyNumberFormat="1" applyFont="1" applyFill="1" applyBorder="1" applyAlignment="1">
      <alignment horizontal="center" vertical="center" wrapText="1"/>
    </xf>
    <xf numFmtId="183" fontId="96" fillId="0" borderId="7" xfId="844" applyNumberFormat="1" applyFont="1" applyFill="1" applyBorder="1" applyAlignment="1">
      <alignment horizontal="right" vertical="center" wrapText="1"/>
    </xf>
    <xf numFmtId="183" fontId="3" fillId="0" borderId="0" xfId="844" applyNumberFormat="1" applyFont="1" applyFill="1" applyBorder="1" applyAlignment="1">
      <alignment horizontal="center" vertical="center" wrapText="1"/>
    </xf>
    <xf numFmtId="0" fontId="92" fillId="0" borderId="0" xfId="720" applyFont="1" applyFill="1" applyBorder="1" applyAlignment="1">
      <alignment horizontal="right" vertical="center" wrapText="1"/>
    </xf>
    <xf numFmtId="0" fontId="99" fillId="0" borderId="0" xfId="626" applyFont="1" applyFill="1" applyBorder="1" applyAlignment="1">
      <alignment horizontal="center" vertical="center" wrapText="1"/>
    </xf>
    <xf numFmtId="185" fontId="99" fillId="0" borderId="0" xfId="849" applyNumberFormat="1" applyFont="1" applyFill="1" applyBorder="1" applyAlignment="1">
      <alignment horizontal="center" vertical="center" wrapText="1"/>
    </xf>
    <xf numFmtId="0" fontId="91" fillId="0" borderId="0" xfId="626" applyFont="1" applyFill="1" applyBorder="1" applyAlignment="1">
      <alignment horizontal="center" vertical="center" wrapText="1"/>
    </xf>
    <xf numFmtId="167" fontId="92" fillId="0" borderId="7" xfId="783" applyNumberFormat="1" applyFont="1" applyFill="1" applyBorder="1" applyAlignment="1">
      <alignment horizontal="center" vertical="center" wrapText="1"/>
    </xf>
    <xf numFmtId="0" fontId="92" fillId="0" borderId="0" xfId="720" applyFont="1" applyFill="1"/>
    <xf numFmtId="167" fontId="5" fillId="0" borderId="7" xfId="783" applyNumberFormat="1" applyFont="1" applyFill="1" applyBorder="1" applyAlignment="1">
      <alignment horizontal="center" vertical="center" wrapText="1"/>
    </xf>
    <xf numFmtId="167" fontId="7" fillId="124" borderId="7" xfId="783" applyNumberFormat="1" applyFont="1" applyFill="1" applyBorder="1" applyAlignment="1">
      <alignment horizontal="center" vertical="center" wrapText="1"/>
    </xf>
    <xf numFmtId="0" fontId="100" fillId="0" borderId="0" xfId="0" applyFont="1" applyAlignment="1">
      <alignment horizontal="left" wrapText="1"/>
    </xf>
    <xf numFmtId="0" fontId="100" fillId="0" borderId="7" xfId="720" applyFont="1" applyFill="1" applyBorder="1" applyAlignment="1">
      <alignment horizontal="left" vertical="center" wrapText="1"/>
    </xf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0" fontId="89" fillId="124" borderId="7" xfId="0" applyFont="1" applyFill="1" applyBorder="1" applyAlignment="1">
      <alignment horizontal="left" vertical="center" wrapText="1"/>
    </xf>
    <xf numFmtId="0" fontId="97" fillId="124" borderId="7" xfId="0" applyFont="1" applyFill="1" applyBorder="1" applyAlignment="1">
      <alignment horizontal="left" vertical="center" wrapText="1"/>
    </xf>
    <xf numFmtId="0" fontId="89" fillId="124" borderId="7" xfId="0" applyFont="1" applyFill="1" applyBorder="1" applyAlignment="1">
      <alignment horizontal="center" vertical="center"/>
    </xf>
    <xf numFmtId="167" fontId="92" fillId="124" borderId="7" xfId="783" applyNumberFormat="1" applyFont="1" applyFill="1" applyBorder="1" applyAlignment="1">
      <alignment horizontal="center" vertical="center" wrapText="1"/>
    </xf>
    <xf numFmtId="0" fontId="92" fillId="124" borderId="0" xfId="720" applyFont="1" applyFill="1"/>
    <xf numFmtId="186" fontId="7" fillId="0" borderId="7" xfId="844" applyNumberFormat="1" applyFont="1" applyFill="1" applyBorder="1" applyAlignment="1">
      <alignment horizontal="center" vertical="center" wrapText="1"/>
    </xf>
    <xf numFmtId="167" fontId="99" fillId="0" borderId="0" xfId="844" applyNumberFormat="1" applyFont="1" applyFill="1" applyBorder="1" applyAlignment="1">
      <alignment horizontal="center" vertical="center" wrapText="1"/>
    </xf>
    <xf numFmtId="183" fontId="5" fillId="0" borderId="7" xfId="783" applyNumberFormat="1" applyFont="1" applyFill="1" applyBorder="1" applyAlignment="1">
      <alignment horizontal="center" vertical="center" wrapText="1"/>
    </xf>
    <xf numFmtId="0" fontId="5" fillId="0" borderId="0" xfId="720" applyFont="1" applyFill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96" fillId="0" borderId="0" xfId="720" applyFont="1" applyFill="1" applyBorder="1" applyAlignment="1">
      <alignment horizontal="right" vertical="center" wrapText="1"/>
    </xf>
    <xf numFmtId="0" fontId="3" fillId="0" borderId="0" xfId="720" applyFont="1" applyFill="1" applyBorder="1" applyAlignment="1">
      <alignment horizontal="center" vertical="center" wrapText="1"/>
    </xf>
    <xf numFmtId="185" fontId="3" fillId="0" borderId="0" xfId="849" applyNumberFormat="1" applyFont="1" applyFill="1" applyBorder="1" applyAlignment="1">
      <alignment horizontal="center" vertical="center" wrapText="1"/>
    </xf>
    <xf numFmtId="184" fontId="3" fillId="0" borderId="0" xfId="626" applyNumberFormat="1" applyFont="1" applyFill="1" applyBorder="1" applyAlignment="1">
      <alignment horizontal="center" vertical="center" wrapText="1"/>
    </xf>
    <xf numFmtId="185" fontId="96" fillId="0" borderId="0" xfId="849" applyNumberFormat="1" applyFont="1" applyFill="1" applyBorder="1" applyAlignment="1">
      <alignment horizontal="right" vertical="center" wrapText="1"/>
    </xf>
    <xf numFmtId="167" fontId="3" fillId="0" borderId="0" xfId="626" applyNumberFormat="1" applyFont="1" applyFill="1" applyBorder="1" applyAlignment="1">
      <alignment horizontal="center" vertical="center" wrapText="1"/>
    </xf>
    <xf numFmtId="185" fontId="5" fillId="0" borderId="0" xfId="849" applyNumberFormat="1" applyFont="1" applyFill="1" applyBorder="1" applyAlignment="1">
      <alignment horizontal="center" vertical="center" wrapText="1"/>
    </xf>
    <xf numFmtId="0" fontId="7" fillId="0" borderId="0" xfId="5" applyFont="1" applyFill="1" applyAlignment="1" applyProtection="1">
      <alignment horizontal="center" vertical="center" wrapText="1"/>
      <protection locked="0"/>
    </xf>
    <xf numFmtId="0" fontId="87" fillId="0" borderId="0" xfId="5" applyFont="1" applyFill="1" applyAlignment="1" applyProtection="1">
      <alignment horizontal="center" vertical="center" wrapText="1"/>
      <protection locked="0"/>
    </xf>
    <xf numFmtId="0" fontId="101" fillId="0" borderId="7" xfId="5" applyNumberFormat="1" applyFont="1" applyFill="1" applyBorder="1" applyAlignment="1" applyProtection="1">
      <alignment horizontal="center" vertical="center" wrapText="1"/>
    </xf>
    <xf numFmtId="166" fontId="101" fillId="0" borderId="7" xfId="783" applyFont="1" applyFill="1" applyBorder="1" applyAlignment="1" applyProtection="1">
      <alignment horizontal="center" vertical="center" wrapText="1"/>
    </xf>
    <xf numFmtId="0" fontId="101" fillId="0" borderId="0" xfId="5" applyFont="1" applyFill="1" applyAlignment="1" applyProtection="1">
      <alignment horizontal="center" vertical="center" wrapText="1"/>
      <protection locked="0"/>
    </xf>
    <xf numFmtId="0" fontId="102" fillId="0" borderId="7" xfId="5" applyNumberFormat="1" applyFont="1" applyFill="1" applyBorder="1" applyAlignment="1" applyProtection="1">
      <alignment horizontal="right" vertical="center" wrapText="1"/>
    </xf>
    <xf numFmtId="167" fontId="87" fillId="0" borderId="7" xfId="783" applyNumberFormat="1" applyFont="1" applyFill="1" applyBorder="1" applyAlignment="1" applyProtection="1">
      <alignment horizontal="center" vertical="center" wrapText="1"/>
    </xf>
    <xf numFmtId="166" fontId="87" fillId="0" borderId="7" xfId="783" applyFont="1" applyFill="1" applyBorder="1" applyAlignment="1" applyProtection="1">
      <alignment horizontal="center" vertical="center" wrapText="1"/>
    </xf>
    <xf numFmtId="0" fontId="102" fillId="0" borderId="7" xfId="5" applyNumberFormat="1" applyFont="1" applyFill="1" applyBorder="1" applyAlignment="1" applyProtection="1">
      <alignment horizontal="left" vertical="center" wrapText="1"/>
    </xf>
    <xf numFmtId="0" fontId="102" fillId="0" borderId="0" xfId="5" applyFont="1" applyFill="1" applyAlignment="1" applyProtection="1">
      <alignment horizontal="center" vertical="center" wrapText="1"/>
      <protection locked="0"/>
    </xf>
    <xf numFmtId="0" fontId="102" fillId="0" borderId="7" xfId="5" applyNumberFormat="1" applyFont="1" applyFill="1" applyBorder="1" applyAlignment="1" applyProtection="1">
      <alignment horizontal="center" vertical="center" wrapText="1"/>
    </xf>
    <xf numFmtId="166" fontId="102" fillId="0" borderId="7" xfId="783" applyFont="1" applyFill="1" applyBorder="1" applyAlignment="1" applyProtection="1">
      <alignment horizontal="center" vertical="center" wrapText="1"/>
    </xf>
    <xf numFmtId="0" fontId="7" fillId="0" borderId="7" xfId="5" applyNumberFormat="1" applyFont="1" applyFill="1" applyBorder="1" applyAlignment="1" applyProtection="1">
      <alignment horizontal="left" vertical="center" wrapText="1"/>
      <protection locked="0"/>
    </xf>
    <xf numFmtId="183" fontId="7" fillId="0" borderId="7" xfId="78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5" applyNumberFormat="1" applyFont="1" applyFill="1" applyAlignment="1" applyProtection="1">
      <alignment horizontal="center" vertical="center" wrapText="1"/>
      <protection locked="0"/>
    </xf>
    <xf numFmtId="166" fontId="7" fillId="0" borderId="0" xfId="783" applyFont="1" applyFill="1" applyAlignment="1" applyProtection="1">
      <alignment horizontal="center" vertical="center" wrapText="1"/>
      <protection locked="0"/>
    </xf>
    <xf numFmtId="0" fontId="87" fillId="0" borderId="0" xfId="5" applyNumberFormat="1" applyFont="1" applyFill="1" applyAlignment="1" applyProtection="1">
      <alignment horizontal="left" vertical="center" wrapText="1"/>
      <protection locked="0"/>
    </xf>
    <xf numFmtId="183" fontId="7" fillId="0" borderId="0" xfId="5" applyNumberFormat="1" applyFont="1" applyFill="1" applyAlignment="1" applyProtection="1">
      <alignment horizontal="center" vertical="center" wrapText="1"/>
      <protection locked="0"/>
    </xf>
    <xf numFmtId="183" fontId="101" fillId="0" borderId="7" xfId="783" applyNumberFormat="1" applyFont="1" applyFill="1" applyBorder="1" applyAlignment="1" applyProtection="1">
      <alignment horizontal="center" vertical="center" wrapText="1"/>
      <protection locked="0"/>
    </xf>
    <xf numFmtId="0" fontId="101" fillId="0" borderId="7" xfId="5" applyNumberFormat="1" applyFont="1" applyFill="1" applyBorder="1" applyAlignment="1" applyProtection="1">
      <alignment horizontal="left" vertical="center" wrapText="1"/>
      <protection locked="0"/>
    </xf>
    <xf numFmtId="183" fontId="101" fillId="0" borderId="7" xfId="783" applyNumberFormat="1" applyFont="1" applyFill="1" applyBorder="1" applyAlignment="1" applyProtection="1">
      <alignment horizontal="center" vertical="center" wrapText="1"/>
    </xf>
    <xf numFmtId="0" fontId="92" fillId="124" borderId="0" xfId="720" applyFont="1" applyFill="1" applyAlignment="1">
      <alignment horizontal="right" vertical="center" wrapText="1"/>
    </xf>
    <xf numFmtId="0" fontId="3" fillId="124" borderId="0" xfId="4" applyFont="1" applyFill="1" applyAlignment="1">
      <alignment horizontal="center" vertical="center" wrapText="1"/>
    </xf>
    <xf numFmtId="0" fontId="3" fillId="124" borderId="7" xfId="4" applyFont="1" applyFill="1" applyBorder="1" applyAlignment="1">
      <alignment horizontal="center" vertical="center" wrapText="1"/>
    </xf>
    <xf numFmtId="49" fontId="87" fillId="124" borderId="7" xfId="783" applyNumberFormat="1" applyFont="1" applyFill="1" applyBorder="1" applyAlignment="1">
      <alignment horizontal="center" vertical="center" wrapText="1"/>
    </xf>
    <xf numFmtId="183" fontId="7" fillId="124" borderId="7" xfId="783" applyNumberFormat="1" applyFont="1" applyFill="1" applyBorder="1" applyAlignment="1">
      <alignment horizontal="center" vertical="center" wrapText="1"/>
    </xf>
    <xf numFmtId="0" fontId="87" fillId="124" borderId="7" xfId="720" applyFont="1" applyFill="1" applyBorder="1" applyAlignment="1">
      <alignment horizontal="center" vertical="center" wrapText="1"/>
    </xf>
    <xf numFmtId="0" fontId="87" fillId="124" borderId="0" xfId="720" applyFont="1" applyFill="1" applyAlignment="1">
      <alignment horizontal="center" vertical="center" wrapText="1"/>
    </xf>
    <xf numFmtId="0" fontId="7" fillId="124" borderId="7" xfId="720" applyFont="1" applyFill="1" applyBorder="1" applyAlignment="1">
      <alignment horizontal="left" vertical="center" wrapText="1"/>
    </xf>
    <xf numFmtId="0" fontId="7" fillId="124" borderId="7" xfId="720" applyFont="1" applyFill="1" applyBorder="1" applyAlignment="1">
      <alignment horizontal="center" vertical="center" wrapText="1"/>
    </xf>
    <xf numFmtId="167" fontId="7" fillId="124" borderId="7" xfId="844" applyNumberFormat="1" applyFont="1" applyFill="1" applyBorder="1" applyAlignment="1">
      <alignment horizontal="center" vertical="center" wrapText="1"/>
    </xf>
    <xf numFmtId="167" fontId="5" fillId="124" borderId="7" xfId="844" applyNumberFormat="1" applyFont="1" applyFill="1" applyBorder="1" applyAlignment="1">
      <alignment horizontal="center" vertical="center" wrapText="1"/>
    </xf>
    <xf numFmtId="0" fontId="7" fillId="124" borderId="0" xfId="720" applyFont="1" applyFill="1" applyAlignment="1">
      <alignment horizontal="center" vertical="center" wrapText="1"/>
    </xf>
    <xf numFmtId="0" fontId="100" fillId="124" borderId="0" xfId="0" applyFont="1" applyFill="1" applyAlignment="1">
      <alignment horizontal="left" vertical="center" wrapText="1"/>
    </xf>
    <xf numFmtId="167" fontId="87" fillId="124" borderId="7" xfId="844" applyNumberFormat="1" applyFont="1" applyFill="1" applyBorder="1" applyAlignment="1">
      <alignment horizontal="center" vertical="center" wrapText="1"/>
    </xf>
    <xf numFmtId="0" fontId="91" fillId="124" borderId="0" xfId="720" applyFont="1" applyFill="1" applyAlignment="1">
      <alignment horizontal="center" vertical="center" wrapText="1"/>
    </xf>
    <xf numFmtId="167" fontId="5" fillId="124" borderId="0" xfId="844" applyNumberFormat="1" applyFont="1" applyFill="1" applyAlignment="1">
      <alignment horizontal="center" vertical="center" wrapText="1"/>
    </xf>
    <xf numFmtId="167" fontId="91" fillId="124" borderId="0" xfId="844" applyNumberFormat="1" applyFont="1" applyFill="1" applyAlignment="1">
      <alignment horizontal="center" vertical="center" wrapText="1"/>
    </xf>
    <xf numFmtId="0" fontId="87" fillId="124" borderId="0" xfId="720" applyFont="1" applyFill="1" applyAlignment="1">
      <alignment horizontal="left" vertical="center" wrapText="1"/>
    </xf>
    <xf numFmtId="167" fontId="87" fillId="124" borderId="0" xfId="844" applyNumberFormat="1" applyFont="1" applyFill="1" applyAlignment="1">
      <alignment horizontal="right" vertical="center" wrapText="1"/>
    </xf>
    <xf numFmtId="167" fontId="7" fillId="124" borderId="0" xfId="844" applyNumberFormat="1" applyFont="1" applyFill="1" applyAlignment="1">
      <alignment horizontal="center" vertical="center" wrapText="1"/>
    </xf>
    <xf numFmtId="4" fontId="7" fillId="124" borderId="0" xfId="720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7" fontId="87" fillId="0" borderId="0" xfId="783" applyNumberFormat="1" applyFont="1" applyFill="1" applyAlignment="1">
      <alignment horizontal="right" vertical="center"/>
    </xf>
    <xf numFmtId="0" fontId="87" fillId="0" borderId="0" xfId="72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167" fontId="7" fillId="0" borderId="7" xfId="844" applyNumberFormat="1" applyFont="1" applyFill="1" applyBorder="1" applyAlignment="1">
      <alignment horizontal="center" vertical="center" wrapText="1"/>
    </xf>
    <xf numFmtId="0" fontId="5" fillId="0" borderId="7" xfId="720" applyFont="1" applyFill="1" applyBorder="1" applyAlignment="1">
      <alignment horizontal="left" vertical="center" wrapText="1"/>
    </xf>
    <xf numFmtId="0" fontId="91" fillId="0" borderId="0" xfId="720" applyFont="1" applyFill="1" applyAlignment="1">
      <alignment horizontal="center"/>
    </xf>
    <xf numFmtId="0" fontId="88" fillId="0" borderId="0" xfId="720" applyFont="1" applyFill="1" applyAlignment="1">
      <alignment horizontal="center"/>
    </xf>
    <xf numFmtId="0" fontId="87" fillId="0" borderId="0" xfId="720" applyFont="1" applyFill="1" applyAlignment="1">
      <alignment horizontal="center" wrapText="1"/>
    </xf>
    <xf numFmtId="0" fontId="7" fillId="0" borderId="0" xfId="720" applyFont="1" applyFill="1" applyAlignment="1">
      <alignment horizontal="left" vertical="center" wrapText="1"/>
    </xf>
    <xf numFmtId="167" fontId="7" fillId="0" borderId="0" xfId="783" applyNumberFormat="1" applyFont="1" applyFill="1" applyAlignment="1">
      <alignment horizontal="center" vertical="center"/>
    </xf>
    <xf numFmtId="0" fontId="92" fillId="0" borderId="0" xfId="720" applyFont="1" applyFill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3" xfId="4" applyFont="1" applyFill="1" applyBorder="1" applyAlignment="1">
      <alignment horizontal="left" vertical="center" wrapText="1"/>
    </xf>
    <xf numFmtId="167" fontId="3" fillId="0" borderId="7" xfId="2" applyNumberFormat="1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left" vertical="center" wrapText="1"/>
    </xf>
    <xf numFmtId="167" fontId="3" fillId="0" borderId="0" xfId="2" applyNumberFormat="1" applyFont="1" applyFill="1" applyAlignment="1">
      <alignment horizontal="right" vertical="center" wrapText="1"/>
    </xf>
    <xf numFmtId="4" fontId="5" fillId="0" borderId="0" xfId="4" applyNumberFormat="1" applyFont="1" applyFill="1" applyAlignment="1">
      <alignment horizontal="center" vertical="center" wrapText="1"/>
    </xf>
    <xf numFmtId="0" fontId="92" fillId="0" borderId="0" xfId="720" applyFont="1" applyFill="1" applyAlignment="1">
      <alignment horizontal="right" vertical="center" wrapText="1"/>
    </xf>
    <xf numFmtId="49" fontId="3" fillId="0" borderId="0" xfId="626" applyNumberFormat="1" applyFont="1" applyFill="1" applyBorder="1" applyAlignment="1">
      <alignment horizontal="center" vertical="center" wrapText="1"/>
    </xf>
    <xf numFmtId="167" fontId="3" fillId="0" borderId="0" xfId="844" applyNumberFormat="1" applyFont="1" applyFill="1" applyBorder="1" applyAlignment="1">
      <alignment horizontal="right" vertical="center" wrapText="1"/>
    </xf>
    <xf numFmtId="0" fontId="4" fillId="0" borderId="32" xfId="626" applyFont="1" applyFill="1" applyBorder="1" applyAlignment="1">
      <alignment horizontal="right" vertical="center" wrapText="1"/>
    </xf>
    <xf numFmtId="0" fontId="3" fillId="0" borderId="0" xfId="626" applyFont="1" applyFill="1" applyBorder="1" applyAlignment="1">
      <alignment horizontal="left" vertical="center" wrapText="1"/>
    </xf>
    <xf numFmtId="0" fontId="3" fillId="0" borderId="0" xfId="4" applyFont="1" applyFill="1" applyAlignment="1">
      <alignment horizontal="center" vertical="center" wrapText="1"/>
    </xf>
    <xf numFmtId="0" fontId="94" fillId="0" borderId="0" xfId="4" applyFont="1" applyFill="1" applyBorder="1" applyAlignment="1">
      <alignment horizontal="right" vertical="center" wrapText="1"/>
    </xf>
    <xf numFmtId="167" fontId="87" fillId="0" borderId="0" xfId="783" applyNumberFormat="1" applyFont="1" applyFill="1" applyAlignment="1">
      <alignment horizontal="right" vertical="center" wrapText="1"/>
    </xf>
    <xf numFmtId="0" fontId="92" fillId="0" borderId="0" xfId="720" applyFont="1" applyFill="1" applyAlignment="1">
      <alignment horizontal="right" vertical="center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 vertical="center" wrapText="1"/>
    </xf>
    <xf numFmtId="0" fontId="87" fillId="0" borderId="0" xfId="720" applyFont="1" applyFill="1" applyAlignment="1">
      <alignment horizontal="center" vertical="center" wrapText="1"/>
    </xf>
    <xf numFmtId="167" fontId="87" fillId="0" borderId="0" xfId="783" applyNumberFormat="1" applyFont="1" applyFill="1" applyAlignment="1">
      <alignment horizontal="right" vertical="center"/>
    </xf>
    <xf numFmtId="0" fontId="87" fillId="0" borderId="0" xfId="720" applyFont="1" applyFill="1" applyBorder="1" applyAlignment="1">
      <alignment horizontal="center" vertical="center" wrapText="1"/>
    </xf>
    <xf numFmtId="0" fontId="4" fillId="0" borderId="32" xfId="4" applyFont="1" applyFill="1" applyBorder="1" applyAlignment="1">
      <alignment horizontal="right" vertical="center" wrapText="1"/>
    </xf>
    <xf numFmtId="0" fontId="90" fillId="0" borderId="0" xfId="0" applyFont="1" applyFill="1" applyAlignment="1">
      <alignment horizontal="center" vertical="center" wrapText="1"/>
    </xf>
    <xf numFmtId="0" fontId="95" fillId="0" borderId="0" xfId="0" applyFont="1" applyFill="1" applyAlignment="1">
      <alignment horizontal="right" vertical="center" wrapText="1"/>
    </xf>
    <xf numFmtId="0" fontId="93" fillId="0" borderId="0" xfId="0" applyFont="1" applyFill="1" applyAlignment="1">
      <alignment horizontal="right" vertical="center" wrapText="1"/>
    </xf>
    <xf numFmtId="0" fontId="89" fillId="0" borderId="33" xfId="0" applyFont="1" applyFill="1" applyBorder="1" applyAlignment="1">
      <alignment horizontal="left" vertical="center" wrapText="1"/>
    </xf>
    <xf numFmtId="0" fontId="89" fillId="0" borderId="35" xfId="0" applyFont="1" applyFill="1" applyBorder="1" applyAlignment="1">
      <alignment horizontal="left" vertical="center" wrapText="1"/>
    </xf>
    <xf numFmtId="0" fontId="89" fillId="0" borderId="34" xfId="0" applyFont="1" applyFill="1" applyBorder="1" applyAlignment="1">
      <alignment horizontal="left" vertical="center" wrapText="1"/>
    </xf>
    <xf numFmtId="0" fontId="3" fillId="124" borderId="0" xfId="4" applyFont="1" applyFill="1" applyAlignment="1">
      <alignment horizontal="center" vertical="center" wrapText="1"/>
    </xf>
    <xf numFmtId="0" fontId="4" fillId="124" borderId="32" xfId="4" applyFont="1" applyFill="1" applyBorder="1" applyAlignment="1">
      <alignment horizontal="right" vertical="center" wrapText="1"/>
    </xf>
    <xf numFmtId="0" fontId="92" fillId="124" borderId="0" xfId="720" applyFont="1" applyFill="1" applyAlignment="1">
      <alignment horizontal="right" vertical="center" wrapText="1"/>
    </xf>
    <xf numFmtId="0" fontId="93" fillId="0" borderId="0" xfId="720" applyFont="1" applyFill="1" applyAlignment="1">
      <alignment horizontal="right" vertical="center" wrapText="1"/>
    </xf>
    <xf numFmtId="167" fontId="90" fillId="0" borderId="0" xfId="783" applyNumberFormat="1" applyFont="1" applyFill="1" applyAlignment="1">
      <alignment horizontal="right" vertical="center" wrapText="1"/>
    </xf>
    <xf numFmtId="0" fontId="90" fillId="0" borderId="0" xfId="720" applyFont="1" applyFill="1" applyAlignment="1">
      <alignment horizontal="left" vertical="center" wrapText="1"/>
    </xf>
    <xf numFmtId="0" fontId="101" fillId="0" borderId="36" xfId="5" applyNumberFormat="1" applyFont="1" applyFill="1" applyBorder="1" applyAlignment="1" applyProtection="1">
      <alignment horizontal="center" vertical="center" wrapText="1"/>
      <protection locked="0"/>
    </xf>
    <xf numFmtId="0" fontId="101" fillId="0" borderId="37" xfId="5" applyNumberFormat="1" applyFont="1" applyFill="1" applyBorder="1" applyAlignment="1" applyProtection="1">
      <alignment horizontal="center" vertical="center" wrapText="1"/>
      <protection locked="0"/>
    </xf>
    <xf numFmtId="0" fontId="101" fillId="0" borderId="38" xfId="5" applyNumberFormat="1" applyFont="1" applyFill="1" applyBorder="1" applyAlignment="1" applyProtection="1">
      <alignment horizontal="center" vertical="center" wrapText="1"/>
      <protection locked="0"/>
    </xf>
    <xf numFmtId="166" fontId="87" fillId="0" borderId="0" xfId="783" applyFont="1" applyFill="1" applyAlignment="1" applyProtection="1">
      <alignment horizontal="right" vertical="center" wrapText="1"/>
      <protection locked="0"/>
    </xf>
    <xf numFmtId="0" fontId="92" fillId="0" borderId="0" xfId="5" applyNumberFormat="1" applyFont="1" applyFill="1" applyAlignment="1" applyProtection="1">
      <alignment horizontal="right" vertical="center" wrapText="1"/>
      <protection locked="0"/>
    </xf>
    <xf numFmtId="0" fontId="101" fillId="0" borderId="0" xfId="5" applyFont="1" applyFill="1" applyAlignment="1" applyProtection="1">
      <alignment horizontal="center" vertical="center" wrapText="1"/>
    </xf>
    <xf numFmtId="0" fontId="92" fillId="0" borderId="32" xfId="5" applyFont="1" applyFill="1" applyBorder="1" applyAlignment="1" applyProtection="1">
      <alignment horizontal="right" vertical="center" wrapText="1"/>
    </xf>
    <xf numFmtId="0" fontId="101" fillId="0" borderId="36" xfId="5" applyNumberFormat="1" applyFont="1" applyFill="1" applyBorder="1" applyAlignment="1" applyProtection="1">
      <alignment horizontal="center" vertical="center" wrapText="1"/>
    </xf>
    <xf numFmtId="0" fontId="101" fillId="0" borderId="37" xfId="5" applyNumberFormat="1" applyFont="1" applyFill="1" applyBorder="1" applyAlignment="1" applyProtection="1">
      <alignment horizontal="center" vertical="center" wrapText="1"/>
    </xf>
    <xf numFmtId="0" fontId="101" fillId="0" borderId="38" xfId="5" applyNumberFormat="1" applyFont="1" applyFill="1" applyBorder="1" applyAlignment="1" applyProtection="1">
      <alignment horizontal="center" vertical="center" wrapText="1"/>
    </xf>
  </cellXfs>
  <cellStyles count="859">
    <cellStyle name=" 1" xfId="6"/>
    <cellStyle name="_2008г. и 4кв" xfId="7"/>
    <cellStyle name="_4_macro 2009" xfId="8"/>
    <cellStyle name="_Condition-long(2012-2030)нах" xfId="9"/>
    <cellStyle name="_CPI foodimp" xfId="10"/>
    <cellStyle name="_macro 2012 var 1" xfId="11"/>
    <cellStyle name="_SeriesAttributes" xfId="12"/>
    <cellStyle name="_v2008-2012-15.12.09вар(2)-11.2030" xfId="13"/>
    <cellStyle name="_v-2013-2030- 2b17.01.11Нах-cpiнов. курс inn 1-2-Е1xls" xfId="14"/>
    <cellStyle name="_Газ-расчет-16 0508Клдо 2023" xfId="15"/>
    <cellStyle name="_Газ-расчет-net-back 21,12.09 до 2030 в2" xfId="16"/>
    <cellStyle name="_ИПЦЖКХ2105 08-до 2023вар1" xfId="17"/>
    <cellStyle name="_Книга1" xfId="18"/>
    <cellStyle name="_Книга3" xfId="19"/>
    <cellStyle name="_Копия Condition-все вар13.12.08" xfId="20"/>
    <cellStyle name="_курсовые разницы 01,06,08" xfId="21"/>
    <cellStyle name="_Макро_2030 год" xfId="22"/>
    <cellStyle name="_Модель - 2(23)" xfId="23"/>
    <cellStyle name="_Правила заполнения" xfId="24"/>
    <cellStyle name="_Сб-macro 2020" xfId="25"/>
    <cellStyle name="_Сб-macro 2020_v2008-2012-15.12.09вар(2)-11.2030" xfId="26"/>
    <cellStyle name="_Сб-macro 2020_v2008-2012-23.09.09вар2а-11" xfId="27"/>
    <cellStyle name="_ЦФ  реализация акций 2008-2010" xfId="28"/>
    <cellStyle name="_ЦФ  реализация акций 2008-2010_акции по годам 2009-2012" xfId="29"/>
    <cellStyle name="_ЦФ  реализация акций 2008-2010_Копия Прогноз ПТРдо 2030г  (3)" xfId="30"/>
    <cellStyle name="_ЦФ  реализация акций 2008-2010_Прогноз ПТРдо 2030г." xfId="31"/>
    <cellStyle name="1Normal" xfId="32"/>
    <cellStyle name="20% - Accent1" xfId="33"/>
    <cellStyle name="20% - Accent2" xfId="34"/>
    <cellStyle name="20% - Accent3" xfId="35"/>
    <cellStyle name="20% - Accent4" xfId="36"/>
    <cellStyle name="20% - Accent5" xfId="37"/>
    <cellStyle name="20% - Accent6" xfId="38"/>
    <cellStyle name="20% - Акцент1 2" xfId="39"/>
    <cellStyle name="20% - Акцент2 2" xfId="40"/>
    <cellStyle name="20% - Акцент3 2" xfId="41"/>
    <cellStyle name="20% - Акцент4 2" xfId="42"/>
    <cellStyle name="20% - Акцент5 2" xfId="43"/>
    <cellStyle name="20% - Акцент6 2" xfId="44"/>
    <cellStyle name="40% - Accent1" xfId="45"/>
    <cellStyle name="40% - Accent2" xfId="46"/>
    <cellStyle name="40% - Accent3" xfId="47"/>
    <cellStyle name="40% - Accent4" xfId="48"/>
    <cellStyle name="40% - Accent5" xfId="49"/>
    <cellStyle name="40% - Accent6" xfId="50"/>
    <cellStyle name="40% - Акцент1 2" xfId="51"/>
    <cellStyle name="40% - Акцент2 2" xfId="52"/>
    <cellStyle name="40% - Акцент3 2" xfId="53"/>
    <cellStyle name="40% - Акцент4 2" xfId="54"/>
    <cellStyle name="40% - Акцент5 2" xfId="55"/>
    <cellStyle name="40% - Акцент6 2" xfId="56"/>
    <cellStyle name="60% - Accent1" xfId="57"/>
    <cellStyle name="60% - Accent2" xfId="58"/>
    <cellStyle name="60% - Accent3" xfId="59"/>
    <cellStyle name="60% - Accent4" xfId="60"/>
    <cellStyle name="60% - Accent5" xfId="61"/>
    <cellStyle name="60% - Accent6" xfId="62"/>
    <cellStyle name="60% - Акцент1 2" xfId="63"/>
    <cellStyle name="60% - Акцент2 2" xfId="64"/>
    <cellStyle name="60% - Акцент3 2" xfId="65"/>
    <cellStyle name="60% - Акцент4 2" xfId="66"/>
    <cellStyle name="60% - Акцент5 2" xfId="67"/>
    <cellStyle name="60% - Акцент6 2" xfId="68"/>
    <cellStyle name="Accent1" xfId="69"/>
    <cellStyle name="Accent1 - 20%" xfId="70"/>
    <cellStyle name="Accent1 - 20% 2" xfId="71"/>
    <cellStyle name="Accent1 - 20% 3" xfId="72"/>
    <cellStyle name="Accent1 - 20% 4" xfId="73"/>
    <cellStyle name="Accent1 - 20% 5" xfId="74"/>
    <cellStyle name="Accent1 - 20% 6" xfId="75"/>
    <cellStyle name="Accent1 - 20%_Книга1" xfId="76"/>
    <cellStyle name="Accent1 - 40%" xfId="77"/>
    <cellStyle name="Accent1 - 40% 2" xfId="78"/>
    <cellStyle name="Accent1 - 40% 3" xfId="79"/>
    <cellStyle name="Accent1 - 40% 4" xfId="80"/>
    <cellStyle name="Accent1 - 40% 5" xfId="81"/>
    <cellStyle name="Accent1 - 40% 6" xfId="82"/>
    <cellStyle name="Accent1 - 40%_Книга1" xfId="83"/>
    <cellStyle name="Accent1 - 60%" xfId="84"/>
    <cellStyle name="Accent1 - 60% 2" xfId="85"/>
    <cellStyle name="Accent1 - 60% 3" xfId="86"/>
    <cellStyle name="Accent1 - 60% 4" xfId="87"/>
    <cellStyle name="Accent1 - 60% 5" xfId="88"/>
    <cellStyle name="Accent1 - 60% 6" xfId="89"/>
    <cellStyle name="Accent1_акции по годам 2009-2012" xfId="90"/>
    <cellStyle name="Accent2" xfId="91"/>
    <cellStyle name="Accent2 - 20%" xfId="92"/>
    <cellStyle name="Accent2 - 20% 2" xfId="93"/>
    <cellStyle name="Accent2 - 20% 3" xfId="94"/>
    <cellStyle name="Accent2 - 20% 4" xfId="95"/>
    <cellStyle name="Accent2 - 20% 5" xfId="96"/>
    <cellStyle name="Accent2 - 20% 6" xfId="97"/>
    <cellStyle name="Accent2 - 20%_Книга1" xfId="98"/>
    <cellStyle name="Accent2 - 40%" xfId="99"/>
    <cellStyle name="Accent2 - 40% 2" xfId="100"/>
    <cellStyle name="Accent2 - 40% 3" xfId="101"/>
    <cellStyle name="Accent2 - 40% 4" xfId="102"/>
    <cellStyle name="Accent2 - 40% 5" xfId="103"/>
    <cellStyle name="Accent2 - 40% 6" xfId="104"/>
    <cellStyle name="Accent2 - 40%_Книга1" xfId="105"/>
    <cellStyle name="Accent2 - 60%" xfId="106"/>
    <cellStyle name="Accent2 - 60% 2" xfId="107"/>
    <cellStyle name="Accent2 - 60% 3" xfId="108"/>
    <cellStyle name="Accent2 - 60% 4" xfId="109"/>
    <cellStyle name="Accent2 - 60% 5" xfId="110"/>
    <cellStyle name="Accent2 - 60% 6" xfId="111"/>
    <cellStyle name="Accent2_акции по годам 2009-2012" xfId="112"/>
    <cellStyle name="Accent3" xfId="113"/>
    <cellStyle name="Accent3 - 20%" xfId="114"/>
    <cellStyle name="Accent3 - 20% 2" xfId="115"/>
    <cellStyle name="Accent3 - 20% 3" xfId="116"/>
    <cellStyle name="Accent3 - 20% 4" xfId="117"/>
    <cellStyle name="Accent3 - 20% 5" xfId="118"/>
    <cellStyle name="Accent3 - 20% 6" xfId="119"/>
    <cellStyle name="Accent3 - 20%_Книга1" xfId="120"/>
    <cellStyle name="Accent3 - 40%" xfId="121"/>
    <cellStyle name="Accent3 - 40% 2" xfId="122"/>
    <cellStyle name="Accent3 - 40% 3" xfId="123"/>
    <cellStyle name="Accent3 - 40% 4" xfId="124"/>
    <cellStyle name="Accent3 - 40% 5" xfId="125"/>
    <cellStyle name="Accent3 - 40% 6" xfId="126"/>
    <cellStyle name="Accent3 - 40%_Книга1" xfId="127"/>
    <cellStyle name="Accent3 - 60%" xfId="128"/>
    <cellStyle name="Accent3 - 60% 2" xfId="129"/>
    <cellStyle name="Accent3 - 60% 3" xfId="130"/>
    <cellStyle name="Accent3 - 60% 4" xfId="131"/>
    <cellStyle name="Accent3 - 60% 5" xfId="132"/>
    <cellStyle name="Accent3 - 60% 6" xfId="133"/>
    <cellStyle name="Accent3_7-р" xfId="134"/>
    <cellStyle name="Accent4" xfId="135"/>
    <cellStyle name="Accent4 - 20%" xfId="136"/>
    <cellStyle name="Accent4 - 20% 2" xfId="137"/>
    <cellStyle name="Accent4 - 20% 3" xfId="138"/>
    <cellStyle name="Accent4 - 20% 4" xfId="139"/>
    <cellStyle name="Accent4 - 20% 5" xfId="140"/>
    <cellStyle name="Accent4 - 20% 6" xfId="141"/>
    <cellStyle name="Accent4 - 20%_Книга1" xfId="142"/>
    <cellStyle name="Accent4 - 40%" xfId="143"/>
    <cellStyle name="Accent4 - 40% 2" xfId="144"/>
    <cellStyle name="Accent4 - 40% 3" xfId="145"/>
    <cellStyle name="Accent4 - 40% 4" xfId="146"/>
    <cellStyle name="Accent4 - 40% 5" xfId="147"/>
    <cellStyle name="Accent4 - 40% 6" xfId="148"/>
    <cellStyle name="Accent4 - 40%_Книга1" xfId="149"/>
    <cellStyle name="Accent4 - 60%" xfId="150"/>
    <cellStyle name="Accent4 - 60% 2" xfId="151"/>
    <cellStyle name="Accent4 - 60% 3" xfId="152"/>
    <cellStyle name="Accent4 - 60% 4" xfId="153"/>
    <cellStyle name="Accent4 - 60% 5" xfId="154"/>
    <cellStyle name="Accent4 - 60% 6" xfId="155"/>
    <cellStyle name="Accent4_7-р" xfId="156"/>
    <cellStyle name="Accent5" xfId="157"/>
    <cellStyle name="Accent5 - 20%" xfId="158"/>
    <cellStyle name="Accent5 - 20% 2" xfId="159"/>
    <cellStyle name="Accent5 - 20% 3" xfId="160"/>
    <cellStyle name="Accent5 - 20% 4" xfId="161"/>
    <cellStyle name="Accent5 - 20% 5" xfId="162"/>
    <cellStyle name="Accent5 - 20% 6" xfId="163"/>
    <cellStyle name="Accent5 - 20%_Книга1" xfId="164"/>
    <cellStyle name="Accent5 - 40%" xfId="165"/>
    <cellStyle name="Accent5 - 60%" xfId="166"/>
    <cellStyle name="Accent5 - 60% 2" xfId="167"/>
    <cellStyle name="Accent5 - 60% 3" xfId="168"/>
    <cellStyle name="Accent5 - 60% 4" xfId="169"/>
    <cellStyle name="Accent5 - 60% 5" xfId="170"/>
    <cellStyle name="Accent5 - 60% 6" xfId="171"/>
    <cellStyle name="Accent5_7-р" xfId="172"/>
    <cellStyle name="Accent6" xfId="173"/>
    <cellStyle name="Accent6 - 20%" xfId="174"/>
    <cellStyle name="Accent6 - 40%" xfId="175"/>
    <cellStyle name="Accent6 - 40% 2" xfId="176"/>
    <cellStyle name="Accent6 - 40% 3" xfId="177"/>
    <cellStyle name="Accent6 - 40% 4" xfId="178"/>
    <cellStyle name="Accent6 - 40% 5" xfId="179"/>
    <cellStyle name="Accent6 - 40% 6" xfId="180"/>
    <cellStyle name="Accent6 - 40%_Книга1" xfId="181"/>
    <cellStyle name="Accent6 - 60%" xfId="182"/>
    <cellStyle name="Accent6 - 60% 2" xfId="183"/>
    <cellStyle name="Accent6 - 60% 3" xfId="184"/>
    <cellStyle name="Accent6 - 60% 4" xfId="185"/>
    <cellStyle name="Accent6 - 60% 5" xfId="186"/>
    <cellStyle name="Accent6 - 60% 6" xfId="187"/>
    <cellStyle name="Accent6_7-р" xfId="188"/>
    <cellStyle name="Annotations Cell - PerformancePoint" xfId="189"/>
    <cellStyle name="Arial007000001514155735" xfId="190"/>
    <cellStyle name="Arial007000001514155735 2" xfId="191"/>
    <cellStyle name="Arial0070000015536870911" xfId="192"/>
    <cellStyle name="Arial0070000015536870911 2" xfId="193"/>
    <cellStyle name="Arial007000001565535" xfId="194"/>
    <cellStyle name="Arial007000001565535 2" xfId="195"/>
    <cellStyle name="Arial0110010000536870911" xfId="196"/>
    <cellStyle name="Arial01101000015536870911" xfId="197"/>
    <cellStyle name="Arial017010000536870911" xfId="198"/>
    <cellStyle name="Arial018000000536870911" xfId="199"/>
    <cellStyle name="Arial10170100015536870911" xfId="200"/>
    <cellStyle name="Arial10170100015536870911 2" xfId="201"/>
    <cellStyle name="Arial107000000536870911" xfId="202"/>
    <cellStyle name="Arial107000001514155735" xfId="203"/>
    <cellStyle name="Arial107000001514155735 2" xfId="204"/>
    <cellStyle name="Arial107000001514155735FMT" xfId="205"/>
    <cellStyle name="Arial107000001514155735FMT 2" xfId="206"/>
    <cellStyle name="Arial1070000015536870911" xfId="207"/>
    <cellStyle name="Arial1070000015536870911 2" xfId="208"/>
    <cellStyle name="Arial1070000015536870911FMT" xfId="209"/>
    <cellStyle name="Arial1070000015536870911FMT 2" xfId="210"/>
    <cellStyle name="Arial107000001565535" xfId="211"/>
    <cellStyle name="Arial107000001565535 2" xfId="212"/>
    <cellStyle name="Arial107000001565535FMT" xfId="213"/>
    <cellStyle name="Arial107000001565535FMT 2" xfId="214"/>
    <cellStyle name="Arial117100000536870911" xfId="215"/>
    <cellStyle name="Arial118000000536870911" xfId="216"/>
    <cellStyle name="Arial2110100000536870911" xfId="217"/>
    <cellStyle name="Arial21101000015536870911" xfId="218"/>
    <cellStyle name="Arial2170000015536870911" xfId="219"/>
    <cellStyle name="Arial2170000015536870911 2" xfId="220"/>
    <cellStyle name="Arial2170000015536870911FMT" xfId="221"/>
    <cellStyle name="Arial2170000015536870911FMT 2" xfId="222"/>
    <cellStyle name="Bad" xfId="223"/>
    <cellStyle name="Calc Currency (0)" xfId="224"/>
    <cellStyle name="Calc Currency (2)" xfId="225"/>
    <cellStyle name="Calc Percent (0)" xfId="226"/>
    <cellStyle name="Calc Percent (1)" xfId="227"/>
    <cellStyle name="Calc Percent (2)" xfId="228"/>
    <cellStyle name="Calc Units (0)" xfId="229"/>
    <cellStyle name="Calc Units (1)" xfId="230"/>
    <cellStyle name="Calc Units (2)" xfId="231"/>
    <cellStyle name="Calculation" xfId="232"/>
    <cellStyle name="Check Cell" xfId="233"/>
    <cellStyle name="Comma [00]" xfId="234"/>
    <cellStyle name="Comma 2" xfId="235"/>
    <cellStyle name="Comma 3" xfId="236"/>
    <cellStyle name="Currency [00]" xfId="237"/>
    <cellStyle name="Data Cell - PerformancePoint" xfId="238"/>
    <cellStyle name="Data Entry Cell - PerformancePoint" xfId="239"/>
    <cellStyle name="Date Short" xfId="240"/>
    <cellStyle name="Default" xfId="241"/>
    <cellStyle name="Dezimal [0]_PERSONAL" xfId="242"/>
    <cellStyle name="Dezimal_PERSONAL" xfId="243"/>
    <cellStyle name="Emphasis 1" xfId="244"/>
    <cellStyle name="Emphasis 1 2" xfId="245"/>
    <cellStyle name="Emphasis 1 3" xfId="246"/>
    <cellStyle name="Emphasis 1 4" xfId="247"/>
    <cellStyle name="Emphasis 1 5" xfId="248"/>
    <cellStyle name="Emphasis 1 6" xfId="249"/>
    <cellStyle name="Emphasis 2" xfId="250"/>
    <cellStyle name="Emphasis 2 2" xfId="251"/>
    <cellStyle name="Emphasis 2 3" xfId="252"/>
    <cellStyle name="Emphasis 2 4" xfId="253"/>
    <cellStyle name="Emphasis 2 5" xfId="254"/>
    <cellStyle name="Emphasis 2 6" xfId="255"/>
    <cellStyle name="Emphasis 3" xfId="256"/>
    <cellStyle name="Enter Currency (0)" xfId="257"/>
    <cellStyle name="Enter Currency (2)" xfId="258"/>
    <cellStyle name="Enter Units (0)" xfId="259"/>
    <cellStyle name="Enter Units (1)" xfId="260"/>
    <cellStyle name="Enter Units (2)" xfId="261"/>
    <cellStyle name="Euro" xfId="262"/>
    <cellStyle name="Excel Built-in Normal" xfId="263"/>
    <cellStyle name="Explanatory Text" xfId="264"/>
    <cellStyle name="Good" xfId="265"/>
    <cellStyle name="Good 2" xfId="266"/>
    <cellStyle name="Good 3" xfId="267"/>
    <cellStyle name="Good 4" xfId="268"/>
    <cellStyle name="Good_7-р_Из_Системы" xfId="269"/>
    <cellStyle name="Header1" xfId="270"/>
    <cellStyle name="Header2" xfId="271"/>
    <cellStyle name="Heading 1" xfId="272"/>
    <cellStyle name="Heading 2" xfId="273"/>
    <cellStyle name="Heading 3" xfId="274"/>
    <cellStyle name="Heading 4" xfId="275"/>
    <cellStyle name="Input" xfId="276"/>
    <cellStyle name="Link Currency (0)" xfId="277"/>
    <cellStyle name="Link Currency (2)" xfId="278"/>
    <cellStyle name="Link Units (0)" xfId="279"/>
    <cellStyle name="Link Units (1)" xfId="280"/>
    <cellStyle name="Link Units (2)" xfId="281"/>
    <cellStyle name="Linked Cell" xfId="282"/>
    <cellStyle name="Locked Cell - PerformancePoint" xfId="283"/>
    <cellStyle name="Neutral" xfId="284"/>
    <cellStyle name="Neutral 2" xfId="285"/>
    <cellStyle name="Neutral 3" xfId="286"/>
    <cellStyle name="Neutral 4" xfId="287"/>
    <cellStyle name="Neutral_7-р_Из_Системы" xfId="288"/>
    <cellStyle name="Norma11l" xfId="289"/>
    <cellStyle name="Normal" xfId="290"/>
    <cellStyle name="Normal 2" xfId="291"/>
    <cellStyle name="Normal 3" xfId="292"/>
    <cellStyle name="Normal 4" xfId="293"/>
    <cellStyle name="Normal 5" xfId="294"/>
    <cellStyle name="Normal_macro 2012 var 1" xfId="295"/>
    <cellStyle name="Note" xfId="296"/>
    <cellStyle name="Note 2" xfId="297"/>
    <cellStyle name="Note 3" xfId="298"/>
    <cellStyle name="Note 4" xfId="299"/>
    <cellStyle name="Note_7-р_Из_Системы" xfId="300"/>
    <cellStyle name="Output" xfId="301"/>
    <cellStyle name="Percent [0]" xfId="302"/>
    <cellStyle name="Percent [00]" xfId="303"/>
    <cellStyle name="Percent 2" xfId="304"/>
    <cellStyle name="Percent 3" xfId="305"/>
    <cellStyle name="PrePop Currency (0)" xfId="306"/>
    <cellStyle name="PrePop Currency (2)" xfId="307"/>
    <cellStyle name="PrePop Units (0)" xfId="308"/>
    <cellStyle name="PrePop Units (1)" xfId="309"/>
    <cellStyle name="PrePop Units (2)" xfId="310"/>
    <cellStyle name="SAPBEXaggData" xfId="311"/>
    <cellStyle name="SAPBEXaggData 2" xfId="312"/>
    <cellStyle name="SAPBEXaggData 3" xfId="313"/>
    <cellStyle name="SAPBEXaggData 4" xfId="314"/>
    <cellStyle name="SAPBEXaggData 5" xfId="315"/>
    <cellStyle name="SAPBEXaggData 6" xfId="316"/>
    <cellStyle name="SAPBEXaggDataEmph" xfId="317"/>
    <cellStyle name="SAPBEXaggDataEmph 2" xfId="318"/>
    <cellStyle name="SAPBEXaggDataEmph 3" xfId="319"/>
    <cellStyle name="SAPBEXaggDataEmph 4" xfId="320"/>
    <cellStyle name="SAPBEXaggDataEmph 5" xfId="321"/>
    <cellStyle name="SAPBEXaggDataEmph 6" xfId="322"/>
    <cellStyle name="SAPBEXaggItem" xfId="323"/>
    <cellStyle name="SAPBEXaggItem 2" xfId="324"/>
    <cellStyle name="SAPBEXaggItem 3" xfId="325"/>
    <cellStyle name="SAPBEXaggItem 4" xfId="326"/>
    <cellStyle name="SAPBEXaggItem 5" xfId="327"/>
    <cellStyle name="SAPBEXaggItem 6" xfId="328"/>
    <cellStyle name="SAPBEXaggItemX" xfId="329"/>
    <cellStyle name="SAPBEXaggItemX 2" xfId="330"/>
    <cellStyle name="SAPBEXaggItemX 3" xfId="331"/>
    <cellStyle name="SAPBEXaggItemX 4" xfId="332"/>
    <cellStyle name="SAPBEXaggItemX 5" xfId="333"/>
    <cellStyle name="SAPBEXaggItemX 6" xfId="334"/>
    <cellStyle name="SAPBEXchaText" xfId="335"/>
    <cellStyle name="SAPBEXchaText 2" xfId="336"/>
    <cellStyle name="SAPBEXchaText 3" xfId="337"/>
    <cellStyle name="SAPBEXchaText 4" xfId="338"/>
    <cellStyle name="SAPBEXchaText 5" xfId="339"/>
    <cellStyle name="SAPBEXchaText 6" xfId="340"/>
    <cellStyle name="SAPBEXchaText_Приложение_1_к_7-у-о_2009_Кв_1_ФСТ" xfId="341"/>
    <cellStyle name="SAPBEXexcBad7" xfId="342"/>
    <cellStyle name="SAPBEXexcBad7 2" xfId="343"/>
    <cellStyle name="SAPBEXexcBad7 3" xfId="344"/>
    <cellStyle name="SAPBEXexcBad7 4" xfId="345"/>
    <cellStyle name="SAPBEXexcBad7 5" xfId="346"/>
    <cellStyle name="SAPBEXexcBad7 6" xfId="347"/>
    <cellStyle name="SAPBEXexcBad8" xfId="348"/>
    <cellStyle name="SAPBEXexcBad8 2" xfId="349"/>
    <cellStyle name="SAPBEXexcBad8 3" xfId="350"/>
    <cellStyle name="SAPBEXexcBad8 4" xfId="351"/>
    <cellStyle name="SAPBEXexcBad8 5" xfId="352"/>
    <cellStyle name="SAPBEXexcBad8 6" xfId="353"/>
    <cellStyle name="SAPBEXexcBad9" xfId="354"/>
    <cellStyle name="SAPBEXexcBad9 2" xfId="355"/>
    <cellStyle name="SAPBEXexcBad9 3" xfId="356"/>
    <cellStyle name="SAPBEXexcBad9 4" xfId="357"/>
    <cellStyle name="SAPBEXexcBad9 5" xfId="358"/>
    <cellStyle name="SAPBEXexcBad9 6" xfId="359"/>
    <cellStyle name="SAPBEXexcCritical4" xfId="360"/>
    <cellStyle name="SAPBEXexcCritical4 2" xfId="361"/>
    <cellStyle name="SAPBEXexcCritical4 3" xfId="362"/>
    <cellStyle name="SAPBEXexcCritical4 4" xfId="363"/>
    <cellStyle name="SAPBEXexcCritical4 5" xfId="364"/>
    <cellStyle name="SAPBEXexcCritical4 6" xfId="365"/>
    <cellStyle name="SAPBEXexcCritical5" xfId="366"/>
    <cellStyle name="SAPBEXexcCritical5 2" xfId="367"/>
    <cellStyle name="SAPBEXexcCritical5 3" xfId="368"/>
    <cellStyle name="SAPBEXexcCritical5 4" xfId="369"/>
    <cellStyle name="SAPBEXexcCritical5 5" xfId="370"/>
    <cellStyle name="SAPBEXexcCritical5 6" xfId="371"/>
    <cellStyle name="SAPBEXexcCritical6" xfId="372"/>
    <cellStyle name="SAPBEXexcCritical6 2" xfId="373"/>
    <cellStyle name="SAPBEXexcCritical6 3" xfId="374"/>
    <cellStyle name="SAPBEXexcCritical6 4" xfId="375"/>
    <cellStyle name="SAPBEXexcCritical6 5" xfId="376"/>
    <cellStyle name="SAPBEXexcCritical6 6" xfId="377"/>
    <cellStyle name="SAPBEXexcGood1" xfId="378"/>
    <cellStyle name="SAPBEXexcGood1 2" xfId="379"/>
    <cellStyle name="SAPBEXexcGood1 3" xfId="380"/>
    <cellStyle name="SAPBEXexcGood1 4" xfId="381"/>
    <cellStyle name="SAPBEXexcGood1 5" xfId="382"/>
    <cellStyle name="SAPBEXexcGood1 6" xfId="383"/>
    <cellStyle name="SAPBEXexcGood2" xfId="384"/>
    <cellStyle name="SAPBEXexcGood2 2" xfId="385"/>
    <cellStyle name="SAPBEXexcGood2 3" xfId="386"/>
    <cellStyle name="SAPBEXexcGood2 4" xfId="387"/>
    <cellStyle name="SAPBEXexcGood2 5" xfId="388"/>
    <cellStyle name="SAPBEXexcGood2 6" xfId="389"/>
    <cellStyle name="SAPBEXexcGood3" xfId="390"/>
    <cellStyle name="SAPBEXexcGood3 2" xfId="391"/>
    <cellStyle name="SAPBEXexcGood3 3" xfId="392"/>
    <cellStyle name="SAPBEXexcGood3 4" xfId="393"/>
    <cellStyle name="SAPBEXexcGood3 5" xfId="394"/>
    <cellStyle name="SAPBEXexcGood3 6" xfId="395"/>
    <cellStyle name="SAPBEXfilterDrill" xfId="396"/>
    <cellStyle name="SAPBEXfilterDrill 2" xfId="397"/>
    <cellStyle name="SAPBEXfilterDrill 3" xfId="398"/>
    <cellStyle name="SAPBEXfilterDrill 4" xfId="399"/>
    <cellStyle name="SAPBEXfilterDrill 5" xfId="400"/>
    <cellStyle name="SAPBEXfilterDrill 6" xfId="401"/>
    <cellStyle name="SAPBEXfilterItem" xfId="402"/>
    <cellStyle name="SAPBEXfilterItem 2" xfId="403"/>
    <cellStyle name="SAPBEXfilterItem 3" xfId="404"/>
    <cellStyle name="SAPBEXfilterItem 4" xfId="405"/>
    <cellStyle name="SAPBEXfilterItem 5" xfId="406"/>
    <cellStyle name="SAPBEXfilterItem 6" xfId="407"/>
    <cellStyle name="SAPBEXfilterText" xfId="408"/>
    <cellStyle name="SAPBEXfilterText 2" xfId="409"/>
    <cellStyle name="SAPBEXfilterText 3" xfId="410"/>
    <cellStyle name="SAPBEXfilterText 4" xfId="411"/>
    <cellStyle name="SAPBEXfilterText 5" xfId="412"/>
    <cellStyle name="SAPBEXfilterText 6" xfId="413"/>
    <cellStyle name="SAPBEXformats" xfId="414"/>
    <cellStyle name="SAPBEXformats 2" xfId="415"/>
    <cellStyle name="SAPBEXformats 3" xfId="416"/>
    <cellStyle name="SAPBEXformats 4" xfId="417"/>
    <cellStyle name="SAPBEXformats 5" xfId="418"/>
    <cellStyle name="SAPBEXformats 6" xfId="419"/>
    <cellStyle name="SAPBEXheaderItem" xfId="420"/>
    <cellStyle name="SAPBEXheaderItem 2" xfId="421"/>
    <cellStyle name="SAPBEXheaderItem 3" xfId="422"/>
    <cellStyle name="SAPBEXheaderItem 4" xfId="423"/>
    <cellStyle name="SAPBEXheaderItem 5" xfId="424"/>
    <cellStyle name="SAPBEXheaderItem 6" xfId="425"/>
    <cellStyle name="SAPBEXheaderText" xfId="426"/>
    <cellStyle name="SAPBEXheaderText 2" xfId="427"/>
    <cellStyle name="SAPBEXheaderText 3" xfId="428"/>
    <cellStyle name="SAPBEXheaderText 4" xfId="429"/>
    <cellStyle name="SAPBEXheaderText 5" xfId="430"/>
    <cellStyle name="SAPBEXheaderText 6" xfId="431"/>
    <cellStyle name="SAPBEXHLevel0" xfId="432"/>
    <cellStyle name="SAPBEXHLevel0 2" xfId="433"/>
    <cellStyle name="SAPBEXHLevel0 3" xfId="434"/>
    <cellStyle name="SAPBEXHLevel0 4" xfId="435"/>
    <cellStyle name="SAPBEXHLevel0 5" xfId="436"/>
    <cellStyle name="SAPBEXHLevel0 6" xfId="437"/>
    <cellStyle name="SAPBEXHLevel0 7" xfId="438"/>
    <cellStyle name="SAPBEXHLevel0_7y-отчетная_РЖД_2009_04" xfId="439"/>
    <cellStyle name="SAPBEXHLevel0X" xfId="440"/>
    <cellStyle name="SAPBEXHLevel0X 2" xfId="441"/>
    <cellStyle name="SAPBEXHLevel0X 3" xfId="442"/>
    <cellStyle name="SAPBEXHLevel0X 4" xfId="443"/>
    <cellStyle name="SAPBEXHLevel0X 5" xfId="444"/>
    <cellStyle name="SAPBEXHLevel0X 6" xfId="445"/>
    <cellStyle name="SAPBEXHLevel0X 7" xfId="446"/>
    <cellStyle name="SAPBEXHLevel0X 8" xfId="447"/>
    <cellStyle name="SAPBEXHLevel0X 9" xfId="448"/>
    <cellStyle name="SAPBEXHLevel0X_7-р_Из_Системы" xfId="449"/>
    <cellStyle name="SAPBEXHLevel1" xfId="450"/>
    <cellStyle name="SAPBEXHLevel1 2" xfId="451"/>
    <cellStyle name="SAPBEXHLevel1 3" xfId="452"/>
    <cellStyle name="SAPBEXHLevel1 4" xfId="453"/>
    <cellStyle name="SAPBEXHLevel1 5" xfId="454"/>
    <cellStyle name="SAPBEXHLevel1 6" xfId="455"/>
    <cellStyle name="SAPBEXHLevel1 7" xfId="456"/>
    <cellStyle name="SAPBEXHLevel1_7y-отчетная_РЖД_2009_04" xfId="457"/>
    <cellStyle name="SAPBEXHLevel1X" xfId="458"/>
    <cellStyle name="SAPBEXHLevel1X 2" xfId="459"/>
    <cellStyle name="SAPBEXHLevel1X 3" xfId="460"/>
    <cellStyle name="SAPBEXHLevel1X 4" xfId="461"/>
    <cellStyle name="SAPBEXHLevel1X 5" xfId="462"/>
    <cellStyle name="SAPBEXHLevel1X 6" xfId="463"/>
    <cellStyle name="SAPBEXHLevel1X 7" xfId="464"/>
    <cellStyle name="SAPBEXHLevel1X 8" xfId="465"/>
    <cellStyle name="SAPBEXHLevel1X 9" xfId="466"/>
    <cellStyle name="SAPBEXHLevel1X_7-р_Из_Системы" xfId="467"/>
    <cellStyle name="SAPBEXHLevel2" xfId="468"/>
    <cellStyle name="SAPBEXHLevel2 2" xfId="469"/>
    <cellStyle name="SAPBEXHLevel2 3" xfId="470"/>
    <cellStyle name="SAPBEXHLevel2 4" xfId="471"/>
    <cellStyle name="SAPBEXHLevel2 5" xfId="472"/>
    <cellStyle name="SAPBEXHLevel2 6" xfId="473"/>
    <cellStyle name="SAPBEXHLevel2_Приложение_1_к_7-у-о_2009_Кв_1_ФСТ" xfId="474"/>
    <cellStyle name="SAPBEXHLevel2X" xfId="475"/>
    <cellStyle name="SAPBEXHLevel2X 2" xfId="476"/>
    <cellStyle name="SAPBEXHLevel2X 3" xfId="477"/>
    <cellStyle name="SAPBEXHLevel2X 4" xfId="478"/>
    <cellStyle name="SAPBEXHLevel2X 5" xfId="479"/>
    <cellStyle name="SAPBEXHLevel2X 6" xfId="480"/>
    <cellStyle name="SAPBEXHLevel2X 7" xfId="481"/>
    <cellStyle name="SAPBEXHLevel2X 8" xfId="482"/>
    <cellStyle name="SAPBEXHLevel2X 9" xfId="483"/>
    <cellStyle name="SAPBEXHLevel2X_7-р_Из_Системы" xfId="484"/>
    <cellStyle name="SAPBEXHLevel3" xfId="485"/>
    <cellStyle name="SAPBEXHLevel3 2" xfId="486"/>
    <cellStyle name="SAPBEXHLevel3 3" xfId="487"/>
    <cellStyle name="SAPBEXHLevel3 4" xfId="488"/>
    <cellStyle name="SAPBEXHLevel3 5" xfId="489"/>
    <cellStyle name="SAPBEXHLevel3 6" xfId="490"/>
    <cellStyle name="SAPBEXHLevel3_Приложение_1_к_7-у-о_2009_Кв_1_ФСТ" xfId="491"/>
    <cellStyle name="SAPBEXHLevel3X" xfId="492"/>
    <cellStyle name="SAPBEXHLevel3X 2" xfId="493"/>
    <cellStyle name="SAPBEXHLevel3X 3" xfId="494"/>
    <cellStyle name="SAPBEXHLevel3X 4" xfId="495"/>
    <cellStyle name="SAPBEXHLevel3X 5" xfId="496"/>
    <cellStyle name="SAPBEXHLevel3X 6" xfId="497"/>
    <cellStyle name="SAPBEXHLevel3X 7" xfId="498"/>
    <cellStyle name="SAPBEXHLevel3X 8" xfId="499"/>
    <cellStyle name="SAPBEXHLevel3X 9" xfId="500"/>
    <cellStyle name="SAPBEXHLevel3X_7-р_Из_Системы" xfId="501"/>
    <cellStyle name="SAPBEXinputData" xfId="502"/>
    <cellStyle name="SAPBEXinputData 10" xfId="503"/>
    <cellStyle name="SAPBEXinputData 2" xfId="504"/>
    <cellStyle name="SAPBEXinputData 3" xfId="505"/>
    <cellStyle name="SAPBEXinputData 4" xfId="506"/>
    <cellStyle name="SAPBEXinputData 5" xfId="507"/>
    <cellStyle name="SAPBEXinputData 6" xfId="508"/>
    <cellStyle name="SAPBEXinputData 7" xfId="509"/>
    <cellStyle name="SAPBEXinputData 8" xfId="510"/>
    <cellStyle name="SAPBEXinputData 9" xfId="511"/>
    <cellStyle name="SAPBEXinputData_7-р_Из_Системы" xfId="512"/>
    <cellStyle name="SAPBEXItemHeader" xfId="513"/>
    <cellStyle name="SAPBEXresData" xfId="514"/>
    <cellStyle name="SAPBEXresData 2" xfId="515"/>
    <cellStyle name="SAPBEXresData 3" xfId="516"/>
    <cellStyle name="SAPBEXresData 4" xfId="517"/>
    <cellStyle name="SAPBEXresData 5" xfId="518"/>
    <cellStyle name="SAPBEXresData 6" xfId="519"/>
    <cellStyle name="SAPBEXresDataEmph" xfId="520"/>
    <cellStyle name="SAPBEXresDataEmph 2" xfId="521"/>
    <cellStyle name="SAPBEXresDataEmph 2 2" xfId="522"/>
    <cellStyle name="SAPBEXresDataEmph 3" xfId="523"/>
    <cellStyle name="SAPBEXresDataEmph 3 2" xfId="524"/>
    <cellStyle name="SAPBEXresDataEmph 4" xfId="525"/>
    <cellStyle name="SAPBEXresDataEmph 4 2" xfId="526"/>
    <cellStyle name="SAPBEXresDataEmph 5" xfId="527"/>
    <cellStyle name="SAPBEXresDataEmph 5 2" xfId="528"/>
    <cellStyle name="SAPBEXresDataEmph 6" xfId="529"/>
    <cellStyle name="SAPBEXresDataEmph 6 2" xfId="530"/>
    <cellStyle name="SAPBEXresItem" xfId="531"/>
    <cellStyle name="SAPBEXresItem 2" xfId="532"/>
    <cellStyle name="SAPBEXresItem 3" xfId="533"/>
    <cellStyle name="SAPBEXresItem 4" xfId="534"/>
    <cellStyle name="SAPBEXresItem 5" xfId="535"/>
    <cellStyle name="SAPBEXresItem 6" xfId="536"/>
    <cellStyle name="SAPBEXresItemX" xfId="537"/>
    <cellStyle name="SAPBEXresItemX 2" xfId="538"/>
    <cellStyle name="SAPBEXresItemX 3" xfId="539"/>
    <cellStyle name="SAPBEXresItemX 4" xfId="540"/>
    <cellStyle name="SAPBEXresItemX 5" xfId="541"/>
    <cellStyle name="SAPBEXresItemX 6" xfId="542"/>
    <cellStyle name="SAPBEXstdData" xfId="543"/>
    <cellStyle name="SAPBEXstdData 2" xfId="544"/>
    <cellStyle name="SAPBEXstdData 3" xfId="545"/>
    <cellStyle name="SAPBEXstdData 4" xfId="546"/>
    <cellStyle name="SAPBEXstdData 5" xfId="547"/>
    <cellStyle name="SAPBEXstdData 6" xfId="548"/>
    <cellStyle name="SAPBEXstdData_Приложение_1_к_7-у-о_2009_Кв_1_ФСТ" xfId="549"/>
    <cellStyle name="SAPBEXstdDataEmph" xfId="550"/>
    <cellStyle name="SAPBEXstdDataEmph 2" xfId="551"/>
    <cellStyle name="SAPBEXstdDataEmph 3" xfId="552"/>
    <cellStyle name="SAPBEXstdDataEmph 4" xfId="553"/>
    <cellStyle name="SAPBEXstdDataEmph 5" xfId="554"/>
    <cellStyle name="SAPBEXstdDataEmph 6" xfId="555"/>
    <cellStyle name="SAPBEXstdItem" xfId="556"/>
    <cellStyle name="SAPBEXstdItem 2" xfId="557"/>
    <cellStyle name="SAPBEXstdItem 3" xfId="558"/>
    <cellStyle name="SAPBEXstdItem 4" xfId="559"/>
    <cellStyle name="SAPBEXstdItem 5" xfId="560"/>
    <cellStyle name="SAPBEXstdItem 6" xfId="561"/>
    <cellStyle name="SAPBEXstdItem 7" xfId="562"/>
    <cellStyle name="SAPBEXstdItem_7-р" xfId="563"/>
    <cellStyle name="SAPBEXstdItemX" xfId="564"/>
    <cellStyle name="SAPBEXstdItemX 2" xfId="565"/>
    <cellStyle name="SAPBEXstdItemX 3" xfId="566"/>
    <cellStyle name="SAPBEXstdItemX 4" xfId="567"/>
    <cellStyle name="SAPBEXstdItemX 5" xfId="568"/>
    <cellStyle name="SAPBEXstdItemX 6" xfId="569"/>
    <cellStyle name="SAPBEXtitle" xfId="570"/>
    <cellStyle name="SAPBEXtitle 2" xfId="571"/>
    <cellStyle name="SAPBEXtitle 3" xfId="572"/>
    <cellStyle name="SAPBEXtitle 4" xfId="573"/>
    <cellStyle name="SAPBEXtitle 5" xfId="574"/>
    <cellStyle name="SAPBEXtitle 6" xfId="575"/>
    <cellStyle name="SAPBEXunassignedItem" xfId="576"/>
    <cellStyle name="SAPBEXunassignedItem 2" xfId="577"/>
    <cellStyle name="SAPBEXundefined" xfId="578"/>
    <cellStyle name="SAPBEXundefined 2" xfId="579"/>
    <cellStyle name="SAPBEXundefined 3" xfId="580"/>
    <cellStyle name="SAPBEXundefined 4" xfId="581"/>
    <cellStyle name="SAPBEXundefined 5" xfId="582"/>
    <cellStyle name="SAPBEXundefined 6" xfId="583"/>
    <cellStyle name="Sheet Title" xfId="584"/>
    <cellStyle name="styleColumnTitles" xfId="585"/>
    <cellStyle name="styleDateRange" xfId="586"/>
    <cellStyle name="styleHidden" xfId="587"/>
    <cellStyle name="styleNormal" xfId="588"/>
    <cellStyle name="styleSeriesAttributes" xfId="589"/>
    <cellStyle name="styleSeriesData" xfId="590"/>
    <cellStyle name="styleSeriesDataForecast" xfId="591"/>
    <cellStyle name="styleSeriesDataForecastNA" xfId="592"/>
    <cellStyle name="styleSeriesDataNA" xfId="593"/>
    <cellStyle name="Text Indent A" xfId="594"/>
    <cellStyle name="Text Indent B" xfId="595"/>
    <cellStyle name="Text Indent C" xfId="596"/>
    <cellStyle name="Times New Roman0181000015536870911" xfId="597"/>
    <cellStyle name="Title" xfId="598"/>
    <cellStyle name="Total" xfId="599"/>
    <cellStyle name="Warning Text" xfId="600"/>
    <cellStyle name="Акцент1 2" xfId="601"/>
    <cellStyle name="Акцент2 2" xfId="602"/>
    <cellStyle name="Акцент3 2" xfId="603"/>
    <cellStyle name="Акцент4 2" xfId="604"/>
    <cellStyle name="Акцент5 2" xfId="605"/>
    <cellStyle name="Акцент6 2" xfId="606"/>
    <cellStyle name="Ввод  2" xfId="607"/>
    <cellStyle name="Вывод 2" xfId="608"/>
    <cellStyle name="Вычисление 2" xfId="609"/>
    <cellStyle name="Гиперссылка 2" xfId="610"/>
    <cellStyle name="Гиперссылка 3" xfId="611"/>
    <cellStyle name="Гиперссылка 4" xfId="612"/>
    <cellStyle name="Денежный 2" xfId="613"/>
    <cellStyle name="Итог 2" xfId="614"/>
    <cellStyle name="Контрольная ячейка 2" xfId="615"/>
    <cellStyle name="Нейтральный 2" xfId="616"/>
    <cellStyle name="Обычный" xfId="0" builtinId="0"/>
    <cellStyle name="Обычный 10" xfId="617"/>
    <cellStyle name="Обычный 100" xfId="850"/>
    <cellStyle name="Обычный 11" xfId="618"/>
    <cellStyle name="Обычный 12" xfId="619"/>
    <cellStyle name="Обычный 12 2" xfId="620"/>
    <cellStyle name="Обычный 12_Т-НахВТО-газ-28.09.12" xfId="621"/>
    <cellStyle name="Обычный 13" xfId="622"/>
    <cellStyle name="Обычный 14" xfId="623"/>
    <cellStyle name="Обычный 15" xfId="624"/>
    <cellStyle name="Обычный 16" xfId="625"/>
    <cellStyle name="Обычный 16 2" xfId="626"/>
    <cellStyle name="Обычный 17" xfId="627"/>
    <cellStyle name="Обычный 18" xfId="628"/>
    <cellStyle name="Обычный 18 2" xfId="629"/>
    <cellStyle name="Обычный 19" xfId="630"/>
    <cellStyle name="Обычный 2" xfId="631"/>
    <cellStyle name="Обычный 2 10" xfId="4"/>
    <cellStyle name="Обычный 2 10 2" xfId="632"/>
    <cellStyle name="Обычный 2 11" xfId="633"/>
    <cellStyle name="Обычный 2 11 2" xfId="634"/>
    <cellStyle name="Обычный 2 11_Книга1" xfId="635"/>
    <cellStyle name="Обычный 2 12" xfId="636"/>
    <cellStyle name="Обычный 2 12 2" xfId="637"/>
    <cellStyle name="Обычный 2 12_Книга1" xfId="638"/>
    <cellStyle name="Обычный 2 13" xfId="639"/>
    <cellStyle name="Обычный 2 14" xfId="640"/>
    <cellStyle name="Обычный 2 2" xfId="641"/>
    <cellStyle name="Обычный 2 2 2" xfId="5"/>
    <cellStyle name="Обычный 2 2 2 2" xfId="642"/>
    <cellStyle name="Обычный 2 2 2 2 2" xfId="643"/>
    <cellStyle name="Обычный 2 2 2 2 2 2" xfId="644"/>
    <cellStyle name="Обычный 2 2 2 2 2 2 2" xfId="645"/>
    <cellStyle name="Обычный 2 2 2 3" xfId="646"/>
    <cellStyle name="Обычный 2 2 2 4" xfId="647"/>
    <cellStyle name="Обычный 2 2 3" xfId="648"/>
    <cellStyle name="Обычный 2 3" xfId="649"/>
    <cellStyle name="Обычный 2 4" xfId="650"/>
    <cellStyle name="Обычный 2 4 2" xfId="651"/>
    <cellStyle name="Обычный 2 5" xfId="652"/>
    <cellStyle name="Обычный 2 6" xfId="653"/>
    <cellStyle name="Обычный 2 7" xfId="654"/>
    <cellStyle name="Обычный 2 8" xfId="655"/>
    <cellStyle name="Обычный 2 9" xfId="656"/>
    <cellStyle name="Обычный 2_Новые Рекоменд.среднесут. нормы питания в дошкольных организациях" xfId="657"/>
    <cellStyle name="Обычный 20" xfId="658"/>
    <cellStyle name="Обычный 21" xfId="659"/>
    <cellStyle name="Обычный 22" xfId="660"/>
    <cellStyle name="Обычный 23" xfId="661"/>
    <cellStyle name="Обычный 24" xfId="662"/>
    <cellStyle name="Обычный 25" xfId="663"/>
    <cellStyle name="Обычный 26" xfId="664"/>
    <cellStyle name="Обычный 27" xfId="665"/>
    <cellStyle name="Обычный 28" xfId="666"/>
    <cellStyle name="Обычный 29" xfId="667"/>
    <cellStyle name="Обычный 3" xfId="668"/>
    <cellStyle name="Обычный 3 2" xfId="669"/>
    <cellStyle name="Обычный 3 3" xfId="670"/>
    <cellStyle name="Обычный 3 4" xfId="671"/>
    <cellStyle name="Обычный 3 5" xfId="672"/>
    <cellStyle name="Обычный 3 6" xfId="851"/>
    <cellStyle name="Обычный 3 7" xfId="852"/>
    <cellStyle name="Обычный 3 8" xfId="853"/>
    <cellStyle name="Обычный 3 9" xfId="854"/>
    <cellStyle name="Обычный 3_RZD_2009-2030_macromodel_090518" xfId="673"/>
    <cellStyle name="Обычный 30" xfId="674"/>
    <cellStyle name="Обычный 31" xfId="675"/>
    <cellStyle name="Обычный 32" xfId="676"/>
    <cellStyle name="Обычный 33" xfId="677"/>
    <cellStyle name="Обычный 34" xfId="678"/>
    <cellStyle name="Обычный 34 2" xfId="679"/>
    <cellStyle name="Обычный 34 2 2" xfId="680"/>
    <cellStyle name="Обычный 34 3" xfId="681"/>
    <cellStyle name="Обычный 35" xfId="682"/>
    <cellStyle name="Обычный 36" xfId="683"/>
    <cellStyle name="Обычный 37" xfId="684"/>
    <cellStyle name="Обычный 38" xfId="685"/>
    <cellStyle name="Обычный 39" xfId="686"/>
    <cellStyle name="Обычный 4" xfId="687"/>
    <cellStyle name="Обычный 4 2" xfId="688"/>
    <cellStyle name="Обычный 4 2 2" xfId="689"/>
    <cellStyle name="Обычный 4 2_Книга1" xfId="690"/>
    <cellStyle name="Обычный 4 3 2 2 2" xfId="691"/>
    <cellStyle name="Обычный 4_ЦФ запрос2008-2009" xfId="692"/>
    <cellStyle name="Обычный 40" xfId="693"/>
    <cellStyle name="Обычный 41" xfId="694"/>
    <cellStyle name="Обычный 42" xfId="695"/>
    <cellStyle name="Обычный 43" xfId="696"/>
    <cellStyle name="Обычный 44" xfId="697"/>
    <cellStyle name="Обычный 45" xfId="698"/>
    <cellStyle name="Обычный 46" xfId="699"/>
    <cellStyle name="Обычный 47" xfId="700"/>
    <cellStyle name="Обычный 48" xfId="701"/>
    <cellStyle name="Обычный 49" xfId="702"/>
    <cellStyle name="Обычный 5" xfId="703"/>
    <cellStyle name="Обычный 50" xfId="704"/>
    <cellStyle name="Обычный 51" xfId="705"/>
    <cellStyle name="Обычный 52" xfId="706"/>
    <cellStyle name="Обычный 53" xfId="707"/>
    <cellStyle name="Обычный 54" xfId="708"/>
    <cellStyle name="Обычный 54 2" xfId="1"/>
    <cellStyle name="Обычный 55" xfId="709"/>
    <cellStyle name="Обычный 56" xfId="710"/>
    <cellStyle name="Обычный 57" xfId="711"/>
    <cellStyle name="Обычный 58" xfId="712"/>
    <cellStyle name="Обычный 59" xfId="713"/>
    <cellStyle name="Обычный 6" xfId="714"/>
    <cellStyle name="Обычный 6 2" xfId="715"/>
    <cellStyle name="Обычный 60" xfId="716"/>
    <cellStyle name="Обычный 61" xfId="717"/>
    <cellStyle name="Обычный 62" xfId="718"/>
    <cellStyle name="Обычный 63" xfId="719"/>
    <cellStyle name="Обычный 64" xfId="720"/>
    <cellStyle name="Обычный 65" xfId="721"/>
    <cellStyle name="Обычный 66" xfId="722"/>
    <cellStyle name="Обычный 67" xfId="723"/>
    <cellStyle name="Обычный 68" xfId="847"/>
    <cellStyle name="Обычный 69" xfId="848"/>
    <cellStyle name="Обычный 7" xfId="724"/>
    <cellStyle name="Обычный 70" xfId="855"/>
    <cellStyle name="Обычный 8" xfId="725"/>
    <cellStyle name="Обычный 8 2" xfId="726"/>
    <cellStyle name="Обычный 9" xfId="727"/>
    <cellStyle name="Обычный 9 2" xfId="728"/>
    <cellStyle name="Обычный 97" xfId="729"/>
    <cellStyle name="Плохой 2" xfId="730"/>
    <cellStyle name="Пояснение 2" xfId="731"/>
    <cellStyle name="Примечание 2" xfId="732"/>
    <cellStyle name="Примечание 3" xfId="856"/>
    <cellStyle name="Процентный" xfId="849" builtinId="5"/>
    <cellStyle name="Процентный 10" xfId="733"/>
    <cellStyle name="Процентный 11" xfId="734"/>
    <cellStyle name="Процентный 12" xfId="735"/>
    <cellStyle name="Процентный 13" xfId="736"/>
    <cellStyle name="Процентный 14" xfId="737"/>
    <cellStyle name="Процентный 15" xfId="738"/>
    <cellStyle name="Процентный 16" xfId="739"/>
    <cellStyle name="Процентный 16 2" xfId="740"/>
    <cellStyle name="Процентный 16 2 2" xfId="741"/>
    <cellStyle name="Процентный 16 3" xfId="742"/>
    <cellStyle name="Процентный 17" xfId="743"/>
    <cellStyle name="Процентный 18" xfId="744"/>
    <cellStyle name="Процентный 19" xfId="745"/>
    <cellStyle name="Процентный 2" xfId="746"/>
    <cellStyle name="Процентный 2 2" xfId="747"/>
    <cellStyle name="Процентный 2 2 2" xfId="748"/>
    <cellStyle name="Процентный 2 2 3" xfId="749"/>
    <cellStyle name="Процентный 20" xfId="750"/>
    <cellStyle name="Процентный 21" xfId="751"/>
    <cellStyle name="Процентный 22" xfId="752"/>
    <cellStyle name="Процентный 23" xfId="846"/>
    <cellStyle name="Процентный 3" xfId="753"/>
    <cellStyle name="Процентный 4" xfId="754"/>
    <cellStyle name="Процентный 5" xfId="755"/>
    <cellStyle name="Процентный 6" xfId="756"/>
    <cellStyle name="Процентный 7" xfId="757"/>
    <cellStyle name="Процентный 8" xfId="758"/>
    <cellStyle name="Процентный 9" xfId="759"/>
    <cellStyle name="Сверхулин" xfId="760"/>
    <cellStyle name="Связанная ячейка 2" xfId="761"/>
    <cellStyle name="Стиль 1" xfId="762"/>
    <cellStyle name="Стиль 1 2" xfId="763"/>
    <cellStyle name="Стиль 1 3" xfId="764"/>
    <cellStyle name="Стиль 1 4" xfId="765"/>
    <cellStyle name="Стиль 1 5" xfId="766"/>
    <cellStyle name="Стиль 1 6" xfId="767"/>
    <cellStyle name="Стиль 1 7" xfId="768"/>
    <cellStyle name="Стиль 1_Книга2" xfId="769"/>
    <cellStyle name="Стиль 2" xfId="770"/>
    <cellStyle name="Стиль 3" xfId="771"/>
    <cellStyle name="Стиль 4" xfId="772"/>
    <cellStyle name="ТаблицаТекст" xfId="773"/>
    <cellStyle name="Текст предупреждения 2" xfId="774"/>
    <cellStyle name="Тысячи [0]_Chart1 (Sales &amp; Costs)" xfId="775"/>
    <cellStyle name="Тысячи_Chart1 (Sales &amp; Costs)" xfId="776"/>
    <cellStyle name="Финансовый" xfId="844" builtinId="3"/>
    <cellStyle name="Финансовый [0] 2" xfId="777"/>
    <cellStyle name="Финансовый [0] 3" xfId="778"/>
    <cellStyle name="Финансовый 10" xfId="779"/>
    <cellStyle name="Финансовый 11" xfId="780"/>
    <cellStyle name="Финансовый 12" xfId="781"/>
    <cellStyle name="Финансовый 13" xfId="782"/>
    <cellStyle name="Финансовый 14" xfId="783"/>
    <cellStyle name="Финансовый 15" xfId="784"/>
    <cellStyle name="Финансовый 16" xfId="785"/>
    <cellStyle name="Финансовый 17" xfId="786"/>
    <cellStyle name="Финансовый 18" xfId="787"/>
    <cellStyle name="Финансовый 19" xfId="788"/>
    <cellStyle name="Финансовый 19 2" xfId="789"/>
    <cellStyle name="Финансовый 19 3" xfId="790"/>
    <cellStyle name="Финансовый 19 3 2" xfId="791"/>
    <cellStyle name="Финансовый 19 4" xfId="792"/>
    <cellStyle name="Финансовый 2" xfId="793"/>
    <cellStyle name="Финансовый 2 10" xfId="794"/>
    <cellStyle name="Финансовый 2 2" xfId="795"/>
    <cellStyle name="Финансовый 2 2 2" xfId="796"/>
    <cellStyle name="Финансовый 2 2 2 2" xfId="797"/>
    <cellStyle name="Финансовый 2 2 3" xfId="798"/>
    <cellStyle name="Финансовый 2 2 3 2" xfId="799"/>
    <cellStyle name="Финансовый 2 2 3 3" xfId="800"/>
    <cellStyle name="Финансовый 2 2 4" xfId="801"/>
    <cellStyle name="Финансовый 2 2 4 2" xfId="802"/>
    <cellStyle name="Финансовый 2 2 4 3" xfId="803"/>
    <cellStyle name="Финансовый 2 2 4 4" xfId="804"/>
    <cellStyle name="Финансовый 2 2 4 5" xfId="805"/>
    <cellStyle name="Финансовый 2 2 4 6" xfId="857"/>
    <cellStyle name="Финансовый 2 3" xfId="806"/>
    <cellStyle name="Финансовый 2 3 2" xfId="807"/>
    <cellStyle name="Финансовый 2 3 2 2" xfId="808"/>
    <cellStyle name="Финансовый 2 3 2 3" xfId="809"/>
    <cellStyle name="Финансовый 2 4" xfId="810"/>
    <cellStyle name="Финансовый 2 5" xfId="811"/>
    <cellStyle name="Финансовый 2 6" xfId="812"/>
    <cellStyle name="Финансовый 2 7" xfId="813"/>
    <cellStyle name="Финансовый 2 8" xfId="814"/>
    <cellStyle name="Финансовый 2 9" xfId="815"/>
    <cellStyle name="Финансовый 20" xfId="816"/>
    <cellStyle name="Финансовый 21" xfId="817"/>
    <cellStyle name="Финансовый 22" xfId="818"/>
    <cellStyle name="Финансовый 23" xfId="819"/>
    <cellStyle name="Финансовый 24" xfId="820"/>
    <cellStyle name="Финансовый 25" xfId="821"/>
    <cellStyle name="Финансовый 26" xfId="822"/>
    <cellStyle name="Финансовый 27" xfId="2"/>
    <cellStyle name="Финансовый 28" xfId="823"/>
    <cellStyle name="Финансовый 29" xfId="824"/>
    <cellStyle name="Финансовый 29 2" xfId="825"/>
    <cellStyle name="Финансовый 3" xfId="826"/>
    <cellStyle name="Финансовый 3 2" xfId="827"/>
    <cellStyle name="Финансовый 30" xfId="828"/>
    <cellStyle name="Финансовый 31" xfId="829"/>
    <cellStyle name="Финансовый 32" xfId="830"/>
    <cellStyle name="Финансовый 33" xfId="831"/>
    <cellStyle name="Финансовый 34" xfId="832"/>
    <cellStyle name="Финансовый 35" xfId="833"/>
    <cellStyle name="Финансовый 36" xfId="834"/>
    <cellStyle name="Финансовый 37" xfId="845"/>
    <cellStyle name="Финансовый 38" xfId="858"/>
    <cellStyle name="Финансовый 4" xfId="835"/>
    <cellStyle name="Финансовый 4 2" xfId="836"/>
    <cellStyle name="Финансовый 4 2 2" xfId="837"/>
    <cellStyle name="Финансовый 4 2 2 2" xfId="3"/>
    <cellStyle name="Финансовый 5" xfId="838"/>
    <cellStyle name="Финансовый 6" xfId="839"/>
    <cellStyle name="Финансовый 7" xfId="840"/>
    <cellStyle name="Финансовый 8" xfId="841"/>
    <cellStyle name="Финансовый 9" xfId="842"/>
    <cellStyle name="Хороший 2" xfId="8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topLeftCell="A16" zoomScaleNormal="115" zoomScaleSheetLayoutView="100" workbookViewId="0">
      <selection sqref="A1:XFD1048576"/>
    </sheetView>
  </sheetViews>
  <sheetFormatPr defaultRowHeight="19.5" x14ac:dyDescent="0.25"/>
  <cols>
    <col min="1" max="1" width="45.7109375" style="43" customWidth="1"/>
    <col min="2" max="2" width="18.7109375" style="49" hidden="1" customWidth="1"/>
    <col min="3" max="5" width="18.7109375" style="49" customWidth="1"/>
    <col min="6" max="6" width="8.7109375" style="43" customWidth="1"/>
    <col min="7" max="7" width="18.7109375" style="49" hidden="1" customWidth="1"/>
    <col min="8" max="10" width="18.7109375" style="49" customWidth="1"/>
    <col min="11" max="11" width="8.7109375" style="43" customWidth="1"/>
    <col min="12" max="12" width="18.7109375" style="49" hidden="1" customWidth="1"/>
    <col min="13" max="15" width="18.7109375" style="49" customWidth="1"/>
    <col min="16" max="16384" width="9.140625" style="43"/>
  </cols>
  <sheetData>
    <row r="1" spans="1:15" s="69" customFormat="1" x14ac:dyDescent="0.25">
      <c r="A1" s="192" t="s">
        <v>62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5" s="69" customFormat="1" x14ac:dyDescent="0.25">
      <c r="C2" s="120"/>
      <c r="D2" s="92"/>
      <c r="E2" s="92"/>
      <c r="F2" s="122"/>
      <c r="H2" s="120"/>
      <c r="I2" s="92"/>
      <c r="J2" s="92"/>
      <c r="K2" s="98"/>
      <c r="L2" s="92"/>
      <c r="M2" s="120"/>
      <c r="N2" s="92"/>
      <c r="O2" s="92"/>
    </row>
    <row r="3" spans="1:15" x14ac:dyDescent="0.25">
      <c r="A3" s="193" t="s">
        <v>225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</row>
    <row r="4" spans="1:15" ht="20.25" x14ac:dyDescent="0.25">
      <c r="A4" s="195" t="s">
        <v>0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1:15" s="45" customFormat="1" ht="136.5" x14ac:dyDescent="0.25">
      <c r="A5" s="33" t="s">
        <v>1</v>
      </c>
      <c r="B5" s="51" t="s">
        <v>315</v>
      </c>
      <c r="C5" s="51" t="s">
        <v>340</v>
      </c>
      <c r="D5" s="51" t="s">
        <v>316</v>
      </c>
      <c r="E5" s="51" t="s">
        <v>196</v>
      </c>
      <c r="F5" s="123"/>
      <c r="G5" s="51" t="s">
        <v>317</v>
      </c>
      <c r="H5" s="51" t="s">
        <v>341</v>
      </c>
      <c r="I5" s="51" t="s">
        <v>318</v>
      </c>
      <c r="J5" s="51" t="s">
        <v>196</v>
      </c>
      <c r="K5" s="93"/>
      <c r="L5" s="51" t="s">
        <v>319</v>
      </c>
      <c r="M5" s="51" t="s">
        <v>342</v>
      </c>
      <c r="N5" s="51" t="s">
        <v>320</v>
      </c>
      <c r="O5" s="51" t="s">
        <v>196</v>
      </c>
    </row>
    <row r="6" spans="1:15" s="45" customFormat="1" x14ac:dyDescent="0.25">
      <c r="A6" s="44" t="s">
        <v>178</v>
      </c>
      <c r="B6" s="70">
        <f>B8+B19</f>
        <v>2599002.2999999998</v>
      </c>
      <c r="C6" s="70">
        <f>C8+C19</f>
        <v>3049728</v>
      </c>
      <c r="D6" s="70">
        <f>D8+D19</f>
        <v>3203202.4999999995</v>
      </c>
      <c r="E6" s="94">
        <f>D6-C6</f>
        <v>153474.49999999953</v>
      </c>
      <c r="G6" s="70">
        <f>G8+G19</f>
        <v>2609271.5</v>
      </c>
      <c r="H6" s="70">
        <f>H8+H19</f>
        <v>2566302.0999999996</v>
      </c>
      <c r="I6" s="70">
        <f>I8+I19</f>
        <v>2566302.0999999996</v>
      </c>
      <c r="J6" s="94">
        <f>I6-H6</f>
        <v>0</v>
      </c>
      <c r="L6" s="70">
        <f>L8+L19</f>
        <v>2368018.1999999997</v>
      </c>
      <c r="M6" s="70">
        <f>M8+M19</f>
        <v>2645682.6</v>
      </c>
      <c r="N6" s="70">
        <f>N8+N19</f>
        <v>2645682.6</v>
      </c>
      <c r="O6" s="94">
        <f>N6-M6</f>
        <v>0</v>
      </c>
    </row>
    <row r="7" spans="1:15" s="45" customFormat="1" x14ac:dyDescent="0.25">
      <c r="A7" s="74" t="s">
        <v>69</v>
      </c>
      <c r="B7" s="70"/>
      <c r="C7" s="70"/>
      <c r="D7" s="70"/>
      <c r="E7" s="94"/>
      <c r="G7" s="70"/>
      <c r="H7" s="70"/>
      <c r="I7" s="70"/>
      <c r="J7" s="94"/>
      <c r="L7" s="70"/>
      <c r="M7" s="70"/>
      <c r="N7" s="70"/>
      <c r="O7" s="94"/>
    </row>
    <row r="8" spans="1:15" s="45" customFormat="1" ht="39" x14ac:dyDescent="0.25">
      <c r="A8" s="44" t="s">
        <v>179</v>
      </c>
      <c r="B8" s="70">
        <f>B9+B10+B11+B12+B13+B14+B15+B17</f>
        <v>575366.89999999991</v>
      </c>
      <c r="C8" s="70">
        <f>C9+C10+C11+C12+C13+C14+C15+C17+C16</f>
        <v>658513.69999999995</v>
      </c>
      <c r="D8" s="70">
        <f>D9+D10+D11+D12+D13+D14+D15+D17+D16</f>
        <v>717052.29999999981</v>
      </c>
      <c r="E8" s="94">
        <f t="shared" ref="E8:E18" si="0">D8-C8</f>
        <v>58538.59999999986</v>
      </c>
      <c r="G8" s="70">
        <f>G9+G10+G11+G12+G13+G14+G15+G17</f>
        <v>613244.80000000005</v>
      </c>
      <c r="H8" s="70">
        <f>H9+H10+H11+H12+H13+H14+H15+H17+H16</f>
        <v>627414.5</v>
      </c>
      <c r="I8" s="70">
        <f>I9+I10+I11+I12+I13+I14+I15+I17+I16</f>
        <v>627414.5</v>
      </c>
      <c r="J8" s="94">
        <f t="shared" ref="J8:J19" si="1">I8-H8</f>
        <v>0</v>
      </c>
      <c r="L8" s="70">
        <f>L9+L10+L11+L12+L13+L14+L15+L17</f>
        <v>648776.30000000005</v>
      </c>
      <c r="M8" s="70">
        <f>M9+M10+M11+M12+M13+M14+M15+M17</f>
        <v>661974.6</v>
      </c>
      <c r="N8" s="70">
        <f>N9+N10+N11+N12+N13+N14+N15+N17</f>
        <v>661974.6</v>
      </c>
      <c r="O8" s="94">
        <f t="shared" ref="O8:O19" si="2">N8-M8</f>
        <v>0</v>
      </c>
    </row>
    <row r="9" spans="1:15" s="45" customFormat="1" x14ac:dyDescent="0.25">
      <c r="A9" s="48" t="s">
        <v>180</v>
      </c>
      <c r="B9" s="73">
        <v>382058.6</v>
      </c>
      <c r="C9" s="73">
        <v>445567.3</v>
      </c>
      <c r="D9" s="73">
        <f>445567.3+40983.3</f>
        <v>486550.6</v>
      </c>
      <c r="E9" s="95">
        <f t="shared" si="0"/>
        <v>40983.299999999988</v>
      </c>
      <c r="F9" s="124"/>
      <c r="G9" s="73">
        <v>411859.20000000001</v>
      </c>
      <c r="H9" s="73">
        <v>428479.4</v>
      </c>
      <c r="I9" s="73">
        <v>428479.4</v>
      </c>
      <c r="J9" s="95">
        <f t="shared" si="1"/>
        <v>0</v>
      </c>
      <c r="L9" s="73">
        <v>437806.3</v>
      </c>
      <c r="M9" s="73">
        <v>453634.3</v>
      </c>
      <c r="N9" s="73">
        <v>453634.3</v>
      </c>
      <c r="O9" s="95">
        <f t="shared" si="2"/>
        <v>0</v>
      </c>
    </row>
    <row r="10" spans="1:15" s="45" customFormat="1" ht="58.5" x14ac:dyDescent="0.25">
      <c r="A10" s="48" t="s">
        <v>181</v>
      </c>
      <c r="B10" s="73">
        <v>42392.7</v>
      </c>
      <c r="C10" s="73">
        <v>42392.7</v>
      </c>
      <c r="D10" s="73">
        <v>42392.7</v>
      </c>
      <c r="E10" s="95">
        <f t="shared" si="0"/>
        <v>0</v>
      </c>
      <c r="G10" s="73">
        <v>43967.3</v>
      </c>
      <c r="H10" s="73">
        <v>43967.3</v>
      </c>
      <c r="I10" s="73">
        <v>43967.3</v>
      </c>
      <c r="J10" s="95">
        <f t="shared" si="1"/>
        <v>0</v>
      </c>
      <c r="L10" s="73">
        <v>46012.9</v>
      </c>
      <c r="M10" s="73">
        <v>46012.9</v>
      </c>
      <c r="N10" s="73">
        <v>46012.9</v>
      </c>
      <c r="O10" s="95">
        <f t="shared" si="2"/>
        <v>0</v>
      </c>
    </row>
    <row r="11" spans="1:15" s="45" customFormat="1" x14ac:dyDescent="0.25">
      <c r="A11" s="48" t="s">
        <v>182</v>
      </c>
      <c r="B11" s="73">
        <v>57491.1</v>
      </c>
      <c r="C11" s="73">
        <v>55050.2</v>
      </c>
      <c r="D11" s="73">
        <v>55050.2</v>
      </c>
      <c r="E11" s="95">
        <f t="shared" si="0"/>
        <v>0</v>
      </c>
      <c r="G11" s="73">
        <v>61063.4</v>
      </c>
      <c r="H11" s="73">
        <v>58612.9</v>
      </c>
      <c r="I11" s="73">
        <v>58612.9</v>
      </c>
      <c r="J11" s="95">
        <f t="shared" si="1"/>
        <v>0</v>
      </c>
      <c r="L11" s="73">
        <v>65424.7</v>
      </c>
      <c r="M11" s="73">
        <v>62795</v>
      </c>
      <c r="N11" s="73">
        <v>62795</v>
      </c>
      <c r="O11" s="95">
        <f t="shared" si="2"/>
        <v>0</v>
      </c>
    </row>
    <row r="12" spans="1:15" s="45" customFormat="1" x14ac:dyDescent="0.25">
      <c r="A12" s="48" t="s">
        <v>183</v>
      </c>
      <c r="B12" s="73">
        <v>42500</v>
      </c>
      <c r="C12" s="73">
        <v>42500</v>
      </c>
      <c r="D12" s="73">
        <f>42500+8200</f>
        <v>50700</v>
      </c>
      <c r="E12" s="95">
        <f t="shared" si="0"/>
        <v>8200</v>
      </c>
      <c r="G12" s="73">
        <v>43650</v>
      </c>
      <c r="H12" s="73">
        <v>43650</v>
      </c>
      <c r="I12" s="73">
        <v>43650</v>
      </c>
      <c r="J12" s="95">
        <f t="shared" si="1"/>
        <v>0</v>
      </c>
      <c r="L12" s="73">
        <v>45000</v>
      </c>
      <c r="M12" s="73">
        <v>45000</v>
      </c>
      <c r="N12" s="73">
        <v>45000</v>
      </c>
      <c r="O12" s="95">
        <f t="shared" si="2"/>
        <v>0</v>
      </c>
    </row>
    <row r="13" spans="1:15" s="45" customFormat="1" x14ac:dyDescent="0.25">
      <c r="A13" s="48" t="s">
        <v>185</v>
      </c>
      <c r="B13" s="73">
        <v>11350</v>
      </c>
      <c r="C13" s="73">
        <v>11350</v>
      </c>
      <c r="D13" s="73">
        <v>11350</v>
      </c>
      <c r="E13" s="95">
        <f t="shared" si="0"/>
        <v>0</v>
      </c>
      <c r="G13" s="73">
        <v>11724.6</v>
      </c>
      <c r="H13" s="73">
        <v>11724.6</v>
      </c>
      <c r="I13" s="73">
        <v>11724.6</v>
      </c>
      <c r="J13" s="95">
        <f t="shared" si="1"/>
        <v>0</v>
      </c>
      <c r="L13" s="73">
        <v>12088.1</v>
      </c>
      <c r="M13" s="73">
        <v>12088.1</v>
      </c>
      <c r="N13" s="73">
        <v>12088.1</v>
      </c>
      <c r="O13" s="95">
        <f t="shared" si="2"/>
        <v>0</v>
      </c>
    </row>
    <row r="14" spans="1:15" s="45" customFormat="1" ht="78" x14ac:dyDescent="0.25">
      <c r="A14" s="48" t="s">
        <v>186</v>
      </c>
      <c r="B14" s="73">
        <v>33594.5</v>
      </c>
      <c r="C14" s="73">
        <v>47460.4</v>
      </c>
      <c r="D14" s="73">
        <f>47460.4+5753.7</f>
        <v>53214.1</v>
      </c>
      <c r="E14" s="95">
        <f t="shared" si="0"/>
        <v>5753.6999999999971</v>
      </c>
      <c r="G14" s="73">
        <v>34761.1</v>
      </c>
      <c r="H14" s="73">
        <v>34761.1</v>
      </c>
      <c r="I14" s="73">
        <v>34761.1</v>
      </c>
      <c r="J14" s="95">
        <f t="shared" si="1"/>
        <v>0</v>
      </c>
      <c r="L14" s="73">
        <v>35976.400000000001</v>
      </c>
      <c r="M14" s="73">
        <v>35976.400000000001</v>
      </c>
      <c r="N14" s="73">
        <v>35976.400000000001</v>
      </c>
      <c r="O14" s="95">
        <f t="shared" si="2"/>
        <v>0</v>
      </c>
    </row>
    <row r="15" spans="1:15" s="45" customFormat="1" ht="39" x14ac:dyDescent="0.25">
      <c r="A15" s="48" t="s">
        <v>184</v>
      </c>
      <c r="B15" s="73">
        <v>5210</v>
      </c>
      <c r="C15" s="73">
        <v>5210</v>
      </c>
      <c r="D15" s="73">
        <v>5210</v>
      </c>
      <c r="E15" s="95">
        <f t="shared" si="0"/>
        <v>0</v>
      </c>
      <c r="G15" s="73">
        <v>5418.4</v>
      </c>
      <c r="H15" s="73">
        <v>5418.4</v>
      </c>
      <c r="I15" s="73">
        <v>5418.4</v>
      </c>
      <c r="J15" s="95">
        <f t="shared" si="1"/>
        <v>0</v>
      </c>
      <c r="L15" s="73">
        <v>5635.1</v>
      </c>
      <c r="M15" s="73">
        <v>5635.1</v>
      </c>
      <c r="N15" s="73">
        <v>5635.1</v>
      </c>
      <c r="O15" s="95">
        <f t="shared" si="2"/>
        <v>0</v>
      </c>
    </row>
    <row r="16" spans="1:15" s="45" customFormat="1" ht="39" x14ac:dyDescent="0.25">
      <c r="A16" s="48" t="s">
        <v>314</v>
      </c>
      <c r="B16" s="73">
        <v>0</v>
      </c>
      <c r="C16" s="73">
        <v>8213.1</v>
      </c>
      <c r="D16" s="73">
        <f>8213.1+3601.6</f>
        <v>11814.7</v>
      </c>
      <c r="E16" s="95">
        <f t="shared" si="0"/>
        <v>3601.6000000000004</v>
      </c>
      <c r="G16" s="73">
        <v>0</v>
      </c>
      <c r="H16" s="73">
        <v>0</v>
      </c>
      <c r="I16" s="73">
        <v>0</v>
      </c>
      <c r="J16" s="95">
        <f t="shared" si="1"/>
        <v>0</v>
      </c>
      <c r="L16" s="73">
        <v>0</v>
      </c>
      <c r="M16" s="73">
        <v>0</v>
      </c>
      <c r="N16" s="73">
        <v>0</v>
      </c>
      <c r="O16" s="95">
        <f t="shared" si="2"/>
        <v>0</v>
      </c>
    </row>
    <row r="17" spans="1:15" s="45" customFormat="1" ht="39" x14ac:dyDescent="0.25">
      <c r="A17" s="48" t="s">
        <v>187</v>
      </c>
      <c r="B17" s="73">
        <v>770</v>
      </c>
      <c r="C17" s="73">
        <v>770</v>
      </c>
      <c r="D17" s="73">
        <v>770</v>
      </c>
      <c r="E17" s="95">
        <f t="shared" si="0"/>
        <v>0</v>
      </c>
      <c r="G17" s="73">
        <v>800.8</v>
      </c>
      <c r="H17" s="73">
        <v>800.8</v>
      </c>
      <c r="I17" s="73">
        <v>800.8</v>
      </c>
      <c r="J17" s="95">
        <f t="shared" si="1"/>
        <v>0</v>
      </c>
      <c r="L17" s="73">
        <v>832.8</v>
      </c>
      <c r="M17" s="73">
        <v>832.8</v>
      </c>
      <c r="N17" s="73">
        <v>832.8</v>
      </c>
      <c r="O17" s="95">
        <f t="shared" si="2"/>
        <v>0</v>
      </c>
    </row>
    <row r="18" spans="1:15" x14ac:dyDescent="0.25">
      <c r="A18" s="48" t="s">
        <v>188</v>
      </c>
      <c r="B18" s="73"/>
      <c r="C18" s="73"/>
      <c r="D18" s="73"/>
      <c r="E18" s="95">
        <f t="shared" si="0"/>
        <v>0</v>
      </c>
      <c r="G18" s="73"/>
      <c r="H18" s="73"/>
      <c r="I18" s="73"/>
      <c r="J18" s="95">
        <f t="shared" si="1"/>
        <v>0</v>
      </c>
      <c r="L18" s="73"/>
      <c r="M18" s="73"/>
      <c r="N18" s="73"/>
      <c r="O18" s="95">
        <f t="shared" si="2"/>
        <v>0</v>
      </c>
    </row>
    <row r="19" spans="1:15" s="45" customFormat="1" ht="39" x14ac:dyDescent="0.25">
      <c r="A19" s="44" t="s">
        <v>189</v>
      </c>
      <c r="B19" s="70">
        <f>B21+B22+B23+B24</f>
        <v>2023635.4</v>
      </c>
      <c r="C19" s="70">
        <f>SUM(C21:C25)</f>
        <v>2391214.2999999998</v>
      </c>
      <c r="D19" s="70">
        <f>SUM(D21:D25)</f>
        <v>2486150.1999999997</v>
      </c>
      <c r="E19" s="94">
        <f>D19-C19</f>
        <v>94935.899999999907</v>
      </c>
      <c r="F19" s="125"/>
      <c r="G19" s="70">
        <f>G21+G22+G23+G24</f>
        <v>1996026.7</v>
      </c>
      <c r="H19" s="70">
        <f>SUM(H21:H25)</f>
        <v>1938887.5999999999</v>
      </c>
      <c r="I19" s="70">
        <f>SUM(I21:I25)</f>
        <v>1938887.5999999999</v>
      </c>
      <c r="J19" s="94">
        <f t="shared" si="1"/>
        <v>0</v>
      </c>
      <c r="L19" s="70">
        <f>L21+L22+L23+L24</f>
        <v>1719241.8999999997</v>
      </c>
      <c r="M19" s="70">
        <f>SUM(M21:M25)</f>
        <v>1983708.0000000002</v>
      </c>
      <c r="N19" s="70">
        <f>SUM(N21:N25)</f>
        <v>1983708.0000000002</v>
      </c>
      <c r="O19" s="94">
        <f t="shared" si="2"/>
        <v>0</v>
      </c>
    </row>
    <row r="20" spans="1:15" s="45" customFormat="1" x14ac:dyDescent="0.25">
      <c r="A20" s="74" t="s">
        <v>69</v>
      </c>
      <c r="B20" s="70"/>
      <c r="C20" s="70"/>
      <c r="D20" s="70"/>
      <c r="E20" s="94"/>
      <c r="F20" s="125"/>
      <c r="G20" s="70"/>
      <c r="H20" s="70"/>
      <c r="I20" s="70"/>
      <c r="J20" s="94"/>
      <c r="L20" s="70"/>
      <c r="M20" s="70"/>
      <c r="N20" s="70"/>
      <c r="O20" s="94"/>
    </row>
    <row r="21" spans="1:15" s="45" customFormat="1" x14ac:dyDescent="0.25">
      <c r="A21" s="48" t="s">
        <v>190</v>
      </c>
      <c r="B21" s="73">
        <f>'Дотация 23 - 25'!B6+'Дотация на сбалансированность 2'!B6</f>
        <v>111726.9</v>
      </c>
      <c r="C21" s="73">
        <f>'Дотация 23 - 25'!C6+'Дотация на сбалансированность 2'!C19</f>
        <v>196175.5</v>
      </c>
      <c r="D21" s="73">
        <f>'Дотация 23 - 25'!D6+'Дотация на сбалансированность 2'!D19</f>
        <v>196175.5</v>
      </c>
      <c r="E21" s="95">
        <f>D21-C21</f>
        <v>0</v>
      </c>
      <c r="F21" s="125"/>
      <c r="G21" s="73">
        <f>'Дотация 23 - 25'!G6+'Дотация на сбалансированность 2'!G6</f>
        <v>86743</v>
      </c>
      <c r="H21" s="73">
        <f>'Дотация 23 - 25'!H6+'Дотация на сбалансированность 2'!H19</f>
        <v>126079.9</v>
      </c>
      <c r="I21" s="73">
        <f>'Дотация 23 - 25'!I6+'Дотация на сбалансированность 2'!I19</f>
        <v>126079.9</v>
      </c>
      <c r="J21" s="95">
        <f>I21-H21</f>
        <v>0</v>
      </c>
      <c r="L21" s="73">
        <f>'Дотация 23 - 25'!L6+'Дотация на сбалансированность 2'!L6</f>
        <v>86743</v>
      </c>
      <c r="M21" s="73">
        <f>'Дотация 23 - 25'!M6+'Дотация на сбалансированность 2'!M19</f>
        <v>97519.8</v>
      </c>
      <c r="N21" s="73">
        <f>'Дотация 23 - 25'!N6+'Дотация на сбалансированность 2'!N19</f>
        <v>97519.8</v>
      </c>
      <c r="O21" s="95">
        <f>N21-M21</f>
        <v>0</v>
      </c>
    </row>
    <row r="22" spans="1:15" s="45" customFormat="1" x14ac:dyDescent="0.25">
      <c r="A22" s="48" t="s">
        <v>191</v>
      </c>
      <c r="B22" s="73">
        <f>'Субсидии 2023'!E50</f>
        <v>273050.5</v>
      </c>
      <c r="C22" s="73">
        <f>'Субсидии 2023'!F50</f>
        <v>703225.59999999986</v>
      </c>
      <c r="D22" s="73">
        <f>'Субсидии 2023'!G50</f>
        <v>778844.29999999981</v>
      </c>
      <c r="E22" s="95">
        <f t="shared" ref="E22:E23" si="3">D22-C22</f>
        <v>75618.699999999953</v>
      </c>
      <c r="F22" s="125"/>
      <c r="G22" s="73">
        <f>'Субсидии 24-25'!E60</f>
        <v>190252.40000000002</v>
      </c>
      <c r="H22" s="73">
        <f>'Субсидии 24-25'!F60</f>
        <v>430057.69999999995</v>
      </c>
      <c r="I22" s="73">
        <f>'Субсидии 24-25'!G60</f>
        <v>430057.69999999995</v>
      </c>
      <c r="J22" s="95">
        <f t="shared" ref="J22:J23" si="4">I22-H22</f>
        <v>0</v>
      </c>
      <c r="L22" s="73">
        <f>'Субсидии 24-25'!J60</f>
        <v>253018.40000000002</v>
      </c>
      <c r="M22" s="73">
        <f>'Субсидии 24-25'!K60</f>
        <v>456407.69999999995</v>
      </c>
      <c r="N22" s="73">
        <f>'Субсидии 24-25'!L60</f>
        <v>456407.69999999995</v>
      </c>
      <c r="O22" s="95">
        <f t="shared" ref="O22:O23" si="5">N22-M22</f>
        <v>0</v>
      </c>
    </row>
    <row r="23" spans="1:15" s="45" customFormat="1" x14ac:dyDescent="0.25">
      <c r="A23" s="48" t="s">
        <v>192</v>
      </c>
      <c r="B23" s="73">
        <f>'Субвенции 2023'!D52</f>
        <v>1582802.0999999999</v>
      </c>
      <c r="C23" s="73">
        <f>'Субвенции 2023'!E52</f>
        <v>1424151.9999999998</v>
      </c>
      <c r="D23" s="73">
        <f>'Субвенции 2023'!F52</f>
        <v>1439195.1999999997</v>
      </c>
      <c r="E23" s="95">
        <f t="shared" si="3"/>
        <v>15043.199999999953</v>
      </c>
      <c r="F23" s="125"/>
      <c r="G23" s="73">
        <f>'Субвенции 24 -25'!D54</f>
        <v>1663492.0999999999</v>
      </c>
      <c r="H23" s="73">
        <f>'Субвенции 24 -25'!E54</f>
        <v>1323102.2</v>
      </c>
      <c r="I23" s="73">
        <f>'Субвенции 24 -25'!F54</f>
        <v>1323102.2</v>
      </c>
      <c r="J23" s="95">
        <f t="shared" si="4"/>
        <v>0</v>
      </c>
      <c r="L23" s="73">
        <f>'Субвенции 24 -25'!I54</f>
        <v>1355655.2999999996</v>
      </c>
      <c r="M23" s="73">
        <f>'Субвенции 24 -25'!J54</f>
        <v>1369778.7000000002</v>
      </c>
      <c r="N23" s="73">
        <f>'Субвенции 24 -25'!K54</f>
        <v>1369778.7000000002</v>
      </c>
      <c r="O23" s="95">
        <f t="shared" si="5"/>
        <v>0</v>
      </c>
    </row>
    <row r="24" spans="1:15" s="45" customFormat="1" x14ac:dyDescent="0.25">
      <c r="A24" s="48" t="s">
        <v>193</v>
      </c>
      <c r="B24" s="73">
        <f>'Иные 2023'!D9+'Переданные 2023 - 2025'!D13</f>
        <v>56055.9</v>
      </c>
      <c r="C24" s="73">
        <f>'Иные 2023'!F9+'Переданные 2023 - 2025'!E13</f>
        <v>67661.2</v>
      </c>
      <c r="D24" s="73">
        <f>'Иные 2023'!G9+'Переданные 2023 - 2025'!F13</f>
        <v>67661.2</v>
      </c>
      <c r="E24" s="95">
        <f>D24-C24</f>
        <v>0</v>
      </c>
      <c r="F24" s="125"/>
      <c r="G24" s="73">
        <f>'Иные 2024 - 2025'!D9+'Переданные 2023 - 2025'!I13</f>
        <v>55539.199999999997</v>
      </c>
      <c r="H24" s="73">
        <f>'Иные 2024 - 2025'!F9+'Переданные 2023 - 2025'!J13</f>
        <v>59647.8</v>
      </c>
      <c r="I24" s="73">
        <f>'Иные 2024 - 2025'!G9+'Переданные 2023 - 2025'!K13</f>
        <v>59647.8</v>
      </c>
      <c r="J24" s="95">
        <f>I24-H24</f>
        <v>0</v>
      </c>
      <c r="L24" s="73">
        <f>'Иные 2024 - 2025'!J9+'Переданные 2023 - 2025'!N13</f>
        <v>23825.200000000001</v>
      </c>
      <c r="M24" s="73">
        <f>'Иные 2024 - 2025'!L9+'Переданные 2023 - 2025'!O13</f>
        <v>60001.8</v>
      </c>
      <c r="N24" s="73">
        <f>'Иные 2024 - 2025'!M9+'Переданные 2023 - 2025'!P13</f>
        <v>60001.8</v>
      </c>
      <c r="O24" s="95">
        <f>N24-M24</f>
        <v>0</v>
      </c>
    </row>
    <row r="25" spans="1:15" s="45" customFormat="1" ht="39" x14ac:dyDescent="0.25">
      <c r="A25" s="48" t="s">
        <v>388</v>
      </c>
      <c r="B25" s="73">
        <f>'Иные 2023'!D8+'Переданные 2023 - 2025'!D12</f>
        <v>942.4</v>
      </c>
      <c r="C25" s="73">
        <v>0</v>
      </c>
      <c r="D25" s="73">
        <v>4274</v>
      </c>
      <c r="E25" s="95">
        <f t="shared" ref="E25" si="6">D25-C25</f>
        <v>4274</v>
      </c>
      <c r="F25" s="125"/>
      <c r="G25" s="73">
        <f>'Иные 2024 - 2025'!D8+'Переданные 2023 - 2025'!I12</f>
        <v>975.1</v>
      </c>
      <c r="H25" s="73">
        <v>0</v>
      </c>
      <c r="I25" s="73">
        <v>0</v>
      </c>
      <c r="J25" s="95">
        <f t="shared" ref="J25" si="7">I25-H25</f>
        <v>0</v>
      </c>
      <c r="L25" s="73">
        <f>'Иные 2024 - 2025'!J8+'Переданные 2023 - 2025'!N12</f>
        <v>1029</v>
      </c>
      <c r="M25" s="73">
        <v>0</v>
      </c>
      <c r="N25" s="73">
        <v>0</v>
      </c>
      <c r="O25" s="95">
        <f t="shared" ref="O25" si="8">N25-M25</f>
        <v>0</v>
      </c>
    </row>
    <row r="26" spans="1:15" x14ac:dyDescent="0.25">
      <c r="A26" s="44" t="s">
        <v>68</v>
      </c>
      <c r="B26" s="70">
        <f>B28+B35+B38+B44+B50+B57+B60+B63+B69</f>
        <v>2599002.2999999993</v>
      </c>
      <c r="C26" s="70">
        <f>C28+C35+C38+C44+C48+C50+C57+C60+C63+C69</f>
        <v>3108687.38</v>
      </c>
      <c r="D26" s="70">
        <f>D28+D35+D38+D44+D48+D50+D57+D60+D63+D69</f>
        <v>3262161.85</v>
      </c>
      <c r="E26" s="94">
        <f>D26-C26</f>
        <v>153474.4700000002</v>
      </c>
      <c r="F26" s="125"/>
      <c r="G26" s="70">
        <f>G28+G35+G38+G44+G50+G57+G60+G63+G69</f>
        <v>2609271.4999999995</v>
      </c>
      <c r="H26" s="70">
        <f>H28+H35+H38+H44+H48+H50+H57+H60+H63+H69</f>
        <v>2566302.10225</v>
      </c>
      <c r="I26" s="70">
        <f>I28+I35+I38+I44+I48+I50+I57+I60+I63+I69</f>
        <v>2566302.10225</v>
      </c>
      <c r="J26" s="94">
        <f>I26-H26</f>
        <v>0</v>
      </c>
      <c r="L26" s="70">
        <f>L28+L35+L38+L44+L50+L57+L60+L63+L69</f>
        <v>2368018.2000000002</v>
      </c>
      <c r="M26" s="70">
        <f>M28+M35+M38+M44+M48+M50+M57+M60+M63+M69</f>
        <v>2645682.5999999996</v>
      </c>
      <c r="N26" s="70">
        <f>N28+N35+N38+N44+N48+N50+N57+N60+N63+N69</f>
        <v>2645682.5999999996</v>
      </c>
      <c r="O26" s="94">
        <f>N26-M26</f>
        <v>0</v>
      </c>
    </row>
    <row r="27" spans="1:15" s="47" customFormat="1" x14ac:dyDescent="0.25">
      <c r="A27" s="46" t="s">
        <v>69</v>
      </c>
      <c r="B27" s="71"/>
      <c r="C27" s="71"/>
      <c r="D27" s="71"/>
      <c r="E27" s="96"/>
      <c r="F27" s="126"/>
      <c r="G27" s="71"/>
      <c r="H27" s="71"/>
      <c r="I27" s="71"/>
      <c r="J27" s="96"/>
      <c r="L27" s="71"/>
      <c r="M27" s="71"/>
      <c r="N27" s="71"/>
      <c r="O27" s="96"/>
    </row>
    <row r="28" spans="1:15" s="45" customFormat="1" ht="39" x14ac:dyDescent="0.25">
      <c r="A28" s="44" t="s">
        <v>155</v>
      </c>
      <c r="B28" s="70">
        <f>SUM(B29:B34)</f>
        <v>245820.59999999998</v>
      </c>
      <c r="C28" s="70">
        <f>SUM(C29:C34)</f>
        <v>263583.8</v>
      </c>
      <c r="D28" s="70">
        <f>SUM(D29:D34)</f>
        <v>260413.4</v>
      </c>
      <c r="E28" s="94">
        <f t="shared" ref="E28:E70" si="9">D28-C28</f>
        <v>-3170.3999999999942</v>
      </c>
      <c r="G28" s="70">
        <f>SUM(G29:G34)</f>
        <v>230399.9</v>
      </c>
      <c r="H28" s="70">
        <f>SUM(H29:H34)</f>
        <v>253893.7</v>
      </c>
      <c r="I28" s="70">
        <f>SUM(I29:I34)</f>
        <v>247762.4</v>
      </c>
      <c r="J28" s="94">
        <f t="shared" ref="J28:J70" si="10">I28-H28</f>
        <v>-6131.3000000000175</v>
      </c>
      <c r="L28" s="70">
        <f>SUM(L29:L34)</f>
        <v>253479.09999999998</v>
      </c>
      <c r="M28" s="70">
        <f>SUM(M29:M34)</f>
        <v>281500.80000000005</v>
      </c>
      <c r="N28" s="70">
        <f>SUM(N29:N34)</f>
        <v>281500.80000000005</v>
      </c>
      <c r="O28" s="94">
        <f t="shared" ref="O28:O70" si="11">N28-M28</f>
        <v>0</v>
      </c>
    </row>
    <row r="29" spans="1:15" ht="58.5" x14ac:dyDescent="0.25">
      <c r="A29" s="48" t="s">
        <v>175</v>
      </c>
      <c r="B29" s="73">
        <v>10248.9</v>
      </c>
      <c r="C29" s="73">
        <v>11009.2</v>
      </c>
      <c r="D29" s="73">
        <v>11009.2</v>
      </c>
      <c r="E29" s="95">
        <f t="shared" si="9"/>
        <v>0</v>
      </c>
      <c r="G29" s="73">
        <v>9660</v>
      </c>
      <c r="H29" s="73">
        <v>10462.9</v>
      </c>
      <c r="I29" s="73">
        <v>10462.9</v>
      </c>
      <c r="J29" s="95">
        <f t="shared" si="10"/>
        <v>0</v>
      </c>
      <c r="L29" s="73">
        <v>9892.4</v>
      </c>
      <c r="M29" s="73">
        <v>10727.6</v>
      </c>
      <c r="N29" s="73">
        <v>10727.6</v>
      </c>
      <c r="O29" s="95">
        <f t="shared" si="11"/>
        <v>0</v>
      </c>
    </row>
    <row r="30" spans="1:15" ht="39" x14ac:dyDescent="0.25">
      <c r="A30" s="48" t="s">
        <v>176</v>
      </c>
      <c r="B30" s="73">
        <v>60437.3</v>
      </c>
      <c r="C30" s="73">
        <v>68328.7</v>
      </c>
      <c r="D30" s="73">
        <v>67885.8</v>
      </c>
      <c r="E30" s="95">
        <f t="shared" si="9"/>
        <v>-442.89999999999418</v>
      </c>
      <c r="G30" s="73">
        <v>60411.4</v>
      </c>
      <c r="H30" s="73">
        <v>72386.3</v>
      </c>
      <c r="I30" s="73">
        <v>72386.3</v>
      </c>
      <c r="J30" s="95">
        <f t="shared" si="10"/>
        <v>0</v>
      </c>
      <c r="L30" s="73">
        <v>62792.6</v>
      </c>
      <c r="M30" s="73">
        <v>75212</v>
      </c>
      <c r="N30" s="73">
        <v>75212</v>
      </c>
      <c r="O30" s="95">
        <f t="shared" si="11"/>
        <v>0</v>
      </c>
    </row>
    <row r="31" spans="1:15" x14ac:dyDescent="0.25">
      <c r="A31" s="48" t="s">
        <v>156</v>
      </c>
      <c r="B31" s="73">
        <v>11.7</v>
      </c>
      <c r="C31" s="73">
        <v>3.7</v>
      </c>
      <c r="D31" s="73">
        <v>3.7</v>
      </c>
      <c r="E31" s="95">
        <f t="shared" si="9"/>
        <v>0</v>
      </c>
      <c r="G31" s="73">
        <v>10.5</v>
      </c>
      <c r="H31" s="73">
        <v>3.9</v>
      </c>
      <c r="I31" s="73">
        <v>3.9</v>
      </c>
      <c r="J31" s="95">
        <f t="shared" si="10"/>
        <v>0</v>
      </c>
      <c r="L31" s="73"/>
      <c r="M31" s="73">
        <v>3.5</v>
      </c>
      <c r="N31" s="73">
        <v>3.5</v>
      </c>
      <c r="O31" s="95">
        <f t="shared" si="11"/>
        <v>0</v>
      </c>
    </row>
    <row r="32" spans="1:15" ht="58.5" x14ac:dyDescent="0.25">
      <c r="A32" s="48" t="s">
        <v>177</v>
      </c>
      <c r="B32" s="73">
        <v>36484.699999999997</v>
      </c>
      <c r="C32" s="73">
        <v>38134.1</v>
      </c>
      <c r="D32" s="73">
        <v>37438</v>
      </c>
      <c r="E32" s="95">
        <f t="shared" si="9"/>
        <v>-696.09999999999854</v>
      </c>
      <c r="G32" s="73">
        <v>35130.9</v>
      </c>
      <c r="H32" s="73">
        <v>36675</v>
      </c>
      <c r="I32" s="73">
        <v>36675</v>
      </c>
      <c r="J32" s="95">
        <f t="shared" si="10"/>
        <v>0</v>
      </c>
      <c r="L32" s="73">
        <v>35650.300000000003</v>
      </c>
      <c r="M32" s="73">
        <v>38002.6</v>
      </c>
      <c r="N32" s="73">
        <v>38002.6</v>
      </c>
      <c r="O32" s="95">
        <f t="shared" si="11"/>
        <v>0</v>
      </c>
    </row>
    <row r="33" spans="1:15" x14ac:dyDescent="0.25">
      <c r="A33" s="48" t="s">
        <v>157</v>
      </c>
      <c r="B33" s="73">
        <v>25000</v>
      </c>
      <c r="C33" s="73">
        <v>14454.6</v>
      </c>
      <c r="D33" s="73">
        <v>10426.299999999999</v>
      </c>
      <c r="E33" s="95">
        <f t="shared" si="9"/>
        <v>-4028.3000000000011</v>
      </c>
      <c r="G33" s="73"/>
      <c r="H33" s="73">
        <v>0</v>
      </c>
      <c r="I33" s="73">
        <v>0</v>
      </c>
      <c r="J33" s="95">
        <f t="shared" si="10"/>
        <v>0</v>
      </c>
      <c r="L33" s="73"/>
      <c r="M33" s="73">
        <v>0</v>
      </c>
      <c r="N33" s="73">
        <v>0</v>
      </c>
      <c r="O33" s="95">
        <f t="shared" si="11"/>
        <v>0</v>
      </c>
    </row>
    <row r="34" spans="1:15" ht="39" x14ac:dyDescent="0.25">
      <c r="A34" s="48" t="s">
        <v>93</v>
      </c>
      <c r="B34" s="73">
        <v>113638</v>
      </c>
      <c r="C34" s="73">
        <v>131653.5</v>
      </c>
      <c r="D34" s="73">
        <v>133650.4</v>
      </c>
      <c r="E34" s="95">
        <f t="shared" si="9"/>
        <v>1996.8999999999942</v>
      </c>
      <c r="G34" s="73">
        <v>125187.1</v>
      </c>
      <c r="H34" s="73">
        <v>134365.6</v>
      </c>
      <c r="I34" s="73">
        <v>128234.3</v>
      </c>
      <c r="J34" s="95">
        <f t="shared" si="10"/>
        <v>-6131.3000000000029</v>
      </c>
      <c r="L34" s="73">
        <v>145143.79999999999</v>
      </c>
      <c r="M34" s="73">
        <v>157555.1</v>
      </c>
      <c r="N34" s="73">
        <v>157555.1</v>
      </c>
      <c r="O34" s="95">
        <f t="shared" si="11"/>
        <v>0</v>
      </c>
    </row>
    <row r="35" spans="1:15" s="45" customFormat="1" ht="78" x14ac:dyDescent="0.25">
      <c r="A35" s="44" t="s">
        <v>158</v>
      </c>
      <c r="B35" s="70">
        <f>SUM(B36)</f>
        <v>17560.599999999999</v>
      </c>
      <c r="C35" s="70">
        <f>SUM(C36:C37)</f>
        <v>29038.899999999998</v>
      </c>
      <c r="D35" s="70">
        <f>SUM(D36:D37)</f>
        <v>29038.899999999998</v>
      </c>
      <c r="E35" s="94">
        <f t="shared" si="9"/>
        <v>0</v>
      </c>
      <c r="G35" s="70">
        <f>SUM(G36)</f>
        <v>17220.7</v>
      </c>
      <c r="H35" s="70">
        <f>SUM(H36)</f>
        <v>17220.7</v>
      </c>
      <c r="I35" s="70">
        <f>SUM(I36)</f>
        <v>17220.7</v>
      </c>
      <c r="J35" s="94">
        <f t="shared" si="10"/>
        <v>0</v>
      </c>
      <c r="L35" s="70">
        <f>SUM(L36)</f>
        <v>17870.3</v>
      </c>
      <c r="M35" s="70">
        <f>SUM(M36)</f>
        <v>17870.3</v>
      </c>
      <c r="N35" s="70">
        <f>SUM(N36)</f>
        <v>17870.3</v>
      </c>
      <c r="O35" s="94">
        <f t="shared" si="11"/>
        <v>0</v>
      </c>
    </row>
    <row r="36" spans="1:15" x14ac:dyDescent="0.25">
      <c r="A36" s="48" t="s">
        <v>159</v>
      </c>
      <c r="B36" s="73">
        <v>17560.599999999999</v>
      </c>
      <c r="C36" s="73">
        <v>17560.599999999999</v>
      </c>
      <c r="D36" s="73">
        <v>17560.599999999999</v>
      </c>
      <c r="E36" s="95">
        <f t="shared" si="9"/>
        <v>0</v>
      </c>
      <c r="G36" s="73">
        <v>17220.7</v>
      </c>
      <c r="H36" s="73">
        <v>17220.7</v>
      </c>
      <c r="I36" s="73">
        <v>17220.7</v>
      </c>
      <c r="J36" s="95">
        <f t="shared" si="10"/>
        <v>0</v>
      </c>
      <c r="L36" s="73">
        <v>17870.3</v>
      </c>
      <c r="M36" s="73">
        <v>17870.3</v>
      </c>
      <c r="N36" s="73">
        <v>17870.3</v>
      </c>
      <c r="O36" s="95">
        <f t="shared" si="11"/>
        <v>0</v>
      </c>
    </row>
    <row r="37" spans="1:15" ht="58.5" x14ac:dyDescent="0.25">
      <c r="A37" s="48" t="s">
        <v>360</v>
      </c>
      <c r="B37" s="73"/>
      <c r="C37" s="73">
        <v>11478.3</v>
      </c>
      <c r="D37" s="73">
        <v>11478.3</v>
      </c>
      <c r="E37" s="95">
        <f t="shared" si="9"/>
        <v>0</v>
      </c>
      <c r="G37" s="73"/>
      <c r="H37" s="73"/>
      <c r="I37" s="73"/>
      <c r="J37" s="95">
        <f t="shared" si="10"/>
        <v>0</v>
      </c>
      <c r="L37" s="73"/>
      <c r="M37" s="73"/>
      <c r="N37" s="73"/>
      <c r="O37" s="95">
        <f t="shared" si="11"/>
        <v>0</v>
      </c>
    </row>
    <row r="38" spans="1:15" s="45" customFormat="1" ht="39" x14ac:dyDescent="0.25">
      <c r="A38" s="44" t="s">
        <v>160</v>
      </c>
      <c r="B38" s="70">
        <f>SUM(B39:B43)</f>
        <v>182715.5</v>
      </c>
      <c r="C38" s="70">
        <f>SUM(C39:C43)</f>
        <v>218438.69999999998</v>
      </c>
      <c r="D38" s="70">
        <f>SUM(D39:D43)</f>
        <v>313974.7</v>
      </c>
      <c r="E38" s="94">
        <f t="shared" si="9"/>
        <v>95536.000000000029</v>
      </c>
      <c r="G38" s="70">
        <f>SUM(G39:G43)</f>
        <v>180241.30000000002</v>
      </c>
      <c r="H38" s="70">
        <f>SUM(H39:H43)</f>
        <v>179608.3</v>
      </c>
      <c r="I38" s="70">
        <f>SUM(I39:I43)</f>
        <v>185739.59999999998</v>
      </c>
      <c r="J38" s="94">
        <f t="shared" si="10"/>
        <v>6131.2999999999884</v>
      </c>
      <c r="L38" s="70">
        <f>SUM(L39:L43)</f>
        <v>311421.10000000003</v>
      </c>
      <c r="M38" s="70">
        <f>SUM(M39:M43)</f>
        <v>236010.39999999997</v>
      </c>
      <c r="N38" s="70">
        <f>SUM(N39:N43)</f>
        <v>236010.39999999997</v>
      </c>
      <c r="O38" s="94">
        <f t="shared" si="11"/>
        <v>0</v>
      </c>
    </row>
    <row r="39" spans="1:15" ht="39" x14ac:dyDescent="0.25">
      <c r="A39" s="48" t="s">
        <v>89</v>
      </c>
      <c r="B39" s="73">
        <v>33299.4</v>
      </c>
      <c r="C39" s="73">
        <v>34076.9</v>
      </c>
      <c r="D39" s="73">
        <v>35676.9</v>
      </c>
      <c r="E39" s="95">
        <f t="shared" si="9"/>
        <v>1600</v>
      </c>
      <c r="G39" s="73">
        <v>33823.800000000003</v>
      </c>
      <c r="H39" s="73">
        <v>33823.800000000003</v>
      </c>
      <c r="I39" s="73">
        <v>33823.800000000003</v>
      </c>
      <c r="J39" s="95">
        <f t="shared" si="10"/>
        <v>0</v>
      </c>
      <c r="L39" s="73">
        <v>34842.699999999997</v>
      </c>
      <c r="M39" s="73">
        <v>34842.699999999997</v>
      </c>
      <c r="N39" s="73">
        <v>34842.699999999997</v>
      </c>
      <c r="O39" s="95">
        <f t="shared" si="11"/>
        <v>0</v>
      </c>
    </row>
    <row r="40" spans="1:15" x14ac:dyDescent="0.25">
      <c r="A40" s="48" t="s">
        <v>90</v>
      </c>
      <c r="B40" s="73">
        <v>5802.3</v>
      </c>
      <c r="C40" s="73">
        <v>5501</v>
      </c>
      <c r="D40" s="73">
        <v>5501</v>
      </c>
      <c r="E40" s="95">
        <f t="shared" si="9"/>
        <v>0</v>
      </c>
      <c r="G40" s="73">
        <v>10024.200000000001</v>
      </c>
      <c r="H40" s="73">
        <v>9391.2000000000007</v>
      </c>
      <c r="I40" s="73">
        <v>9391.2000000000007</v>
      </c>
      <c r="J40" s="95">
        <f t="shared" si="10"/>
        <v>0</v>
      </c>
      <c r="L40" s="73">
        <v>3520</v>
      </c>
      <c r="M40" s="73">
        <v>5258.5</v>
      </c>
      <c r="N40" s="73">
        <v>5258.5</v>
      </c>
      <c r="O40" s="95">
        <f t="shared" si="11"/>
        <v>0</v>
      </c>
    </row>
    <row r="41" spans="1:15" x14ac:dyDescent="0.25">
      <c r="A41" s="48" t="s">
        <v>387</v>
      </c>
      <c r="B41" s="73"/>
      <c r="C41" s="73">
        <v>0</v>
      </c>
      <c r="D41" s="73">
        <v>81750</v>
      </c>
      <c r="E41" s="95">
        <f t="shared" si="9"/>
        <v>81750</v>
      </c>
      <c r="G41" s="73"/>
      <c r="H41" s="73">
        <v>0</v>
      </c>
      <c r="I41" s="73">
        <v>0</v>
      </c>
      <c r="J41" s="95">
        <f t="shared" si="10"/>
        <v>0</v>
      </c>
      <c r="L41" s="73"/>
      <c r="M41" s="73">
        <v>0</v>
      </c>
      <c r="N41" s="73">
        <v>0</v>
      </c>
      <c r="O41" s="95">
        <f t="shared" si="11"/>
        <v>0</v>
      </c>
    </row>
    <row r="42" spans="1:15" ht="39" x14ac:dyDescent="0.25">
      <c r="A42" s="48" t="s">
        <v>91</v>
      </c>
      <c r="B42" s="73">
        <f>140852.9-124.2</f>
        <v>140728.69999999998</v>
      </c>
      <c r="C42" s="73">
        <v>175392.9</v>
      </c>
      <c r="D42" s="73">
        <v>187866.9</v>
      </c>
      <c r="E42" s="95">
        <f t="shared" si="9"/>
        <v>12474</v>
      </c>
      <c r="G42" s="73">
        <f>135464.1-128.8</f>
        <v>135335.30000000002</v>
      </c>
      <c r="H42" s="73">
        <v>135335.29999999999</v>
      </c>
      <c r="I42" s="73">
        <v>135335.29999999999</v>
      </c>
      <c r="J42" s="95">
        <f t="shared" si="10"/>
        <v>0</v>
      </c>
      <c r="L42" s="73">
        <f>271715.2+285.2</f>
        <v>272000.40000000002</v>
      </c>
      <c r="M42" s="73">
        <v>172000.4</v>
      </c>
      <c r="N42" s="73">
        <v>172000.4</v>
      </c>
      <c r="O42" s="95">
        <f t="shared" si="11"/>
        <v>0</v>
      </c>
    </row>
    <row r="43" spans="1:15" ht="39" x14ac:dyDescent="0.25">
      <c r="A43" s="48" t="s">
        <v>92</v>
      </c>
      <c r="B43" s="73">
        <v>2885.1</v>
      </c>
      <c r="C43" s="73">
        <v>3467.9</v>
      </c>
      <c r="D43" s="73">
        <v>3179.9</v>
      </c>
      <c r="E43" s="95">
        <f t="shared" si="9"/>
        <v>-288</v>
      </c>
      <c r="G43" s="73">
        <v>1058</v>
      </c>
      <c r="H43" s="73">
        <v>1058</v>
      </c>
      <c r="I43" s="73">
        <v>7189.3</v>
      </c>
      <c r="J43" s="95">
        <f t="shared" si="10"/>
        <v>6131.3</v>
      </c>
      <c r="L43" s="73">
        <v>1058</v>
      </c>
      <c r="M43" s="73">
        <v>23908.799999999999</v>
      </c>
      <c r="N43" s="73">
        <v>23908.799999999999</v>
      </c>
      <c r="O43" s="95">
        <f t="shared" si="11"/>
        <v>0</v>
      </c>
    </row>
    <row r="44" spans="1:15" s="45" customFormat="1" ht="58.5" x14ac:dyDescent="0.25">
      <c r="A44" s="44" t="s">
        <v>94</v>
      </c>
      <c r="B44" s="70">
        <f>SUM(B45:B47)</f>
        <v>177549.59999999998</v>
      </c>
      <c r="C44" s="70">
        <f>SUM(C45:C47)</f>
        <v>186014.7</v>
      </c>
      <c r="D44" s="70">
        <f>SUM(D45:D47)</f>
        <v>181543.30000000002</v>
      </c>
      <c r="E44" s="94">
        <f t="shared" si="9"/>
        <v>-4471.3999999999942</v>
      </c>
      <c r="F44" s="127"/>
      <c r="G44" s="70">
        <f>SUM(G45:G47)</f>
        <v>101557.1</v>
      </c>
      <c r="H44" s="70">
        <f>SUM(H45:H47)</f>
        <v>106564.7</v>
      </c>
      <c r="I44" s="70">
        <f>SUM(I45:I47)</f>
        <v>106564.7</v>
      </c>
      <c r="J44" s="94">
        <f t="shared" si="10"/>
        <v>0</v>
      </c>
      <c r="L44" s="70">
        <f>SUM(L45:L47)</f>
        <v>60232.899999999994</v>
      </c>
      <c r="M44" s="70">
        <f>SUM(M45:M47)</f>
        <v>65868</v>
      </c>
      <c r="N44" s="70">
        <f>SUM(N45:N47)</f>
        <v>65868</v>
      </c>
      <c r="O44" s="94">
        <f t="shared" si="11"/>
        <v>0</v>
      </c>
    </row>
    <row r="45" spans="1:15" x14ac:dyDescent="0.25">
      <c r="A45" s="48" t="s">
        <v>161</v>
      </c>
      <c r="B45" s="73">
        <v>116376.9</v>
      </c>
      <c r="C45" s="73">
        <v>157965.20000000001</v>
      </c>
      <c r="D45" s="73">
        <v>157965.20000000001</v>
      </c>
      <c r="E45" s="95">
        <f t="shared" si="9"/>
        <v>0</v>
      </c>
      <c r="F45" s="128"/>
      <c r="G45" s="73">
        <v>58587.5</v>
      </c>
      <c r="H45" s="73">
        <v>58587.5</v>
      </c>
      <c r="I45" s="73">
        <v>58587.5</v>
      </c>
      <c r="J45" s="95">
        <f t="shared" si="10"/>
        <v>0</v>
      </c>
      <c r="L45" s="73">
        <v>47214.7</v>
      </c>
      <c r="M45" s="73">
        <v>47214.7</v>
      </c>
      <c r="N45" s="73">
        <v>47214.7</v>
      </c>
      <c r="O45" s="95">
        <f t="shared" si="11"/>
        <v>0</v>
      </c>
    </row>
    <row r="46" spans="1:15" x14ac:dyDescent="0.25">
      <c r="A46" s="48" t="s">
        <v>162</v>
      </c>
      <c r="B46" s="73">
        <v>31221.3</v>
      </c>
      <c r="C46" s="73">
        <v>17978</v>
      </c>
      <c r="D46" s="73">
        <v>9995.4</v>
      </c>
      <c r="E46" s="95">
        <f t="shared" si="9"/>
        <v>-7982.6</v>
      </c>
      <c r="G46" s="73">
        <v>13018.2</v>
      </c>
      <c r="H46" s="73">
        <v>13018.2</v>
      </c>
      <c r="I46" s="73">
        <v>13018.2</v>
      </c>
      <c r="J46" s="95">
        <f t="shared" si="10"/>
        <v>0</v>
      </c>
      <c r="L46" s="73">
        <v>13018.2</v>
      </c>
      <c r="M46" s="73">
        <v>13018.2</v>
      </c>
      <c r="N46" s="73">
        <v>13018.2</v>
      </c>
      <c r="O46" s="95">
        <f t="shared" si="11"/>
        <v>0</v>
      </c>
    </row>
    <row r="47" spans="1:15" x14ac:dyDescent="0.25">
      <c r="A47" s="48" t="s">
        <v>163</v>
      </c>
      <c r="B47" s="73">
        <v>29951.4</v>
      </c>
      <c r="C47" s="73">
        <v>10071.5</v>
      </c>
      <c r="D47" s="73">
        <v>13582.7</v>
      </c>
      <c r="E47" s="95">
        <f t="shared" si="9"/>
        <v>3511.2000000000007</v>
      </c>
      <c r="G47" s="73">
        <v>29951.4</v>
      </c>
      <c r="H47" s="73">
        <v>34959</v>
      </c>
      <c r="I47" s="73">
        <v>34959</v>
      </c>
      <c r="J47" s="95">
        <f t="shared" si="10"/>
        <v>0</v>
      </c>
      <c r="L47" s="73"/>
      <c r="M47" s="73">
        <v>5635.1</v>
      </c>
      <c r="N47" s="73">
        <v>5635.1</v>
      </c>
      <c r="O47" s="95">
        <f t="shared" si="11"/>
        <v>0</v>
      </c>
    </row>
    <row r="48" spans="1:15" ht="39" x14ac:dyDescent="0.25">
      <c r="A48" s="44" t="s">
        <v>361</v>
      </c>
      <c r="B48" s="70">
        <f>SUM(B49:B52)</f>
        <v>2186399.3999999994</v>
      </c>
      <c r="C48" s="70">
        <f>SUM(C49)</f>
        <v>451.6</v>
      </c>
      <c r="D48" s="70">
        <f>SUM(D49)</f>
        <v>451.6</v>
      </c>
      <c r="E48" s="94">
        <f t="shared" ref="E48:E49" si="12">D48-C48</f>
        <v>0</v>
      </c>
      <c r="F48" s="45"/>
      <c r="G48" s="70">
        <f>SUM(G49:G52)</f>
        <v>2319866.7000000002</v>
      </c>
      <c r="H48" s="70">
        <f>SUM(H49)</f>
        <v>410.8</v>
      </c>
      <c r="I48" s="70">
        <f>SUM(I49)</f>
        <v>410.8</v>
      </c>
      <c r="J48" s="94">
        <f t="shared" ref="J48:J49" si="13">I48-H48</f>
        <v>0</v>
      </c>
      <c r="K48" s="45"/>
      <c r="L48" s="70">
        <f>SUM(L49:L52)</f>
        <v>2271478</v>
      </c>
      <c r="M48" s="70">
        <f>SUM(M49)</f>
        <v>0</v>
      </c>
      <c r="N48" s="70">
        <f>SUM(N49)</f>
        <v>0</v>
      </c>
      <c r="O48" s="94">
        <f t="shared" ref="O48:O49" si="14">N48-M48</f>
        <v>0</v>
      </c>
    </row>
    <row r="49" spans="1:15" ht="39" x14ac:dyDescent="0.25">
      <c r="A49" s="48" t="s">
        <v>362</v>
      </c>
      <c r="B49" s="73">
        <v>33299.4</v>
      </c>
      <c r="C49" s="73">
        <v>451.6</v>
      </c>
      <c r="D49" s="73">
        <v>451.6</v>
      </c>
      <c r="E49" s="95">
        <f t="shared" si="12"/>
        <v>0</v>
      </c>
      <c r="G49" s="73">
        <v>33823.800000000003</v>
      </c>
      <c r="H49" s="73">
        <v>410.8</v>
      </c>
      <c r="I49" s="73">
        <v>410.8</v>
      </c>
      <c r="J49" s="95">
        <f t="shared" si="13"/>
        <v>0</v>
      </c>
      <c r="L49" s="73">
        <v>34842.699999999997</v>
      </c>
      <c r="M49" s="73"/>
      <c r="N49" s="73"/>
      <c r="O49" s="95">
        <f t="shared" si="14"/>
        <v>0</v>
      </c>
    </row>
    <row r="50" spans="1:15" s="45" customFormat="1" x14ac:dyDescent="0.25">
      <c r="A50" s="44" t="s">
        <v>164</v>
      </c>
      <c r="B50" s="70">
        <f>SUM(B51:B56)</f>
        <v>1119005.8999999999</v>
      </c>
      <c r="C50" s="70">
        <f>SUM(C51:C56)</f>
        <v>1551549.68</v>
      </c>
      <c r="D50" s="70">
        <f>SUM(D51:D56)</f>
        <v>1599021.35</v>
      </c>
      <c r="E50" s="94">
        <f t="shared" si="9"/>
        <v>47471.670000000158</v>
      </c>
      <c r="F50" s="124"/>
      <c r="G50" s="70">
        <f>SUM(G51:G56)</f>
        <v>1188956.5999999999</v>
      </c>
      <c r="H50" s="70">
        <f>SUM(H51:H56)</f>
        <v>1295929.10225</v>
      </c>
      <c r="I50" s="70">
        <f>SUM(I51:I56)</f>
        <v>1295929.10225</v>
      </c>
      <c r="J50" s="94">
        <f t="shared" si="10"/>
        <v>0</v>
      </c>
      <c r="L50" s="70">
        <f>SUM(L51:L56)</f>
        <v>1166048.8</v>
      </c>
      <c r="M50" s="70">
        <f>SUM(M51:M56)</f>
        <v>1450340.9999999998</v>
      </c>
      <c r="N50" s="70">
        <f>SUM(N51:N56)</f>
        <v>1450340.9999999998</v>
      </c>
      <c r="O50" s="94">
        <f t="shared" si="11"/>
        <v>0</v>
      </c>
    </row>
    <row r="51" spans="1:15" x14ac:dyDescent="0.25">
      <c r="A51" s="48" t="s">
        <v>95</v>
      </c>
      <c r="B51" s="73">
        <v>374234.4</v>
      </c>
      <c r="C51" s="73">
        <v>448926.44</v>
      </c>
      <c r="D51" s="73">
        <v>457401.2</v>
      </c>
      <c r="E51" s="95">
        <f t="shared" si="9"/>
        <v>8474.7600000000093</v>
      </c>
      <c r="F51" s="128"/>
      <c r="G51" s="73">
        <v>406070.6</v>
      </c>
      <c r="H51" s="73">
        <v>407426.75</v>
      </c>
      <c r="I51" s="73">
        <v>407426.75</v>
      </c>
      <c r="J51" s="95">
        <f t="shared" si="10"/>
        <v>0</v>
      </c>
      <c r="L51" s="73">
        <v>416498.6</v>
      </c>
      <c r="M51" s="73">
        <v>367915.4</v>
      </c>
      <c r="N51" s="73">
        <v>367915.4</v>
      </c>
      <c r="O51" s="95">
        <f t="shared" si="11"/>
        <v>0</v>
      </c>
    </row>
    <row r="52" spans="1:15" x14ac:dyDescent="0.25">
      <c r="A52" s="48" t="s">
        <v>96</v>
      </c>
      <c r="B52" s="73">
        <v>659859.69999999995</v>
      </c>
      <c r="C52" s="73">
        <v>998951.54</v>
      </c>
      <c r="D52" s="73">
        <v>1035528.9</v>
      </c>
      <c r="E52" s="95">
        <f t="shared" si="9"/>
        <v>36577.359999999986</v>
      </c>
      <c r="F52" s="128"/>
      <c r="G52" s="73">
        <v>691015.7</v>
      </c>
      <c r="H52" s="73">
        <v>799213.25</v>
      </c>
      <c r="I52" s="73">
        <v>799213.25</v>
      </c>
      <c r="J52" s="95">
        <f t="shared" si="10"/>
        <v>0</v>
      </c>
      <c r="L52" s="73">
        <v>654087.9</v>
      </c>
      <c r="M52" s="73">
        <v>995099.5</v>
      </c>
      <c r="N52" s="73">
        <v>995099.5</v>
      </c>
      <c r="O52" s="95">
        <f t="shared" si="11"/>
        <v>0</v>
      </c>
    </row>
    <row r="53" spans="1:15" ht="39" x14ac:dyDescent="0.25">
      <c r="A53" s="48" t="s">
        <v>97</v>
      </c>
      <c r="B53" s="73">
        <v>46471.8</v>
      </c>
      <c r="C53" s="73">
        <v>56961.7</v>
      </c>
      <c r="D53" s="73">
        <v>60598.9</v>
      </c>
      <c r="E53" s="95">
        <f t="shared" si="9"/>
        <v>3637.2000000000044</v>
      </c>
      <c r="F53" s="128"/>
      <c r="G53" s="73">
        <v>50453.7</v>
      </c>
      <c r="H53" s="73">
        <v>45465.8</v>
      </c>
      <c r="I53" s="73">
        <v>45465.8</v>
      </c>
      <c r="J53" s="95">
        <f t="shared" si="10"/>
        <v>0</v>
      </c>
      <c r="L53" s="73">
        <v>52659.8</v>
      </c>
      <c r="M53" s="73">
        <v>44483.9</v>
      </c>
      <c r="N53" s="73">
        <v>44483.9</v>
      </c>
      <c r="O53" s="95">
        <f t="shared" si="11"/>
        <v>0</v>
      </c>
    </row>
    <row r="54" spans="1:15" ht="58.5" x14ac:dyDescent="0.25">
      <c r="A54" s="48" t="s">
        <v>98</v>
      </c>
      <c r="B54" s="73">
        <v>477.5</v>
      </c>
      <c r="C54" s="73">
        <v>904</v>
      </c>
      <c r="D54" s="73">
        <v>748.8</v>
      </c>
      <c r="E54" s="95">
        <f t="shared" si="9"/>
        <v>-155.20000000000005</v>
      </c>
      <c r="G54" s="73">
        <v>442.3</v>
      </c>
      <c r="H54" s="73">
        <v>442.3</v>
      </c>
      <c r="I54" s="73">
        <v>442.3</v>
      </c>
      <c r="J54" s="95">
        <f t="shared" si="10"/>
        <v>0</v>
      </c>
      <c r="L54" s="73">
        <v>442.3</v>
      </c>
      <c r="M54" s="73">
        <v>442.3</v>
      </c>
      <c r="N54" s="73">
        <v>442.3</v>
      </c>
      <c r="O54" s="95">
        <f t="shared" si="11"/>
        <v>0</v>
      </c>
    </row>
    <row r="55" spans="1:15" x14ac:dyDescent="0.25">
      <c r="A55" s="48" t="s">
        <v>99</v>
      </c>
      <c r="B55" s="73">
        <v>4248.1000000000004</v>
      </c>
      <c r="C55" s="73">
        <v>898.2</v>
      </c>
      <c r="D55" s="73">
        <v>898.2</v>
      </c>
      <c r="E55" s="95">
        <f t="shared" si="9"/>
        <v>0</v>
      </c>
      <c r="G55" s="73">
        <v>4382</v>
      </c>
      <c r="H55" s="73">
        <v>898.2</v>
      </c>
      <c r="I55" s="73">
        <v>898.2</v>
      </c>
      <c r="J55" s="95">
        <f t="shared" si="10"/>
        <v>0</v>
      </c>
      <c r="L55" s="73">
        <v>4521.3999999999996</v>
      </c>
      <c r="M55" s="73">
        <v>898.2</v>
      </c>
      <c r="N55" s="73">
        <v>898.2</v>
      </c>
      <c r="O55" s="95">
        <f t="shared" si="11"/>
        <v>0</v>
      </c>
    </row>
    <row r="56" spans="1:15" ht="39" x14ac:dyDescent="0.25">
      <c r="A56" s="48" t="s">
        <v>100</v>
      </c>
      <c r="B56" s="73">
        <v>33714.400000000001</v>
      </c>
      <c r="C56" s="73">
        <v>44907.8</v>
      </c>
      <c r="D56" s="73">
        <f>43845.3+0.05</f>
        <v>43845.350000000006</v>
      </c>
      <c r="E56" s="95">
        <f t="shared" si="9"/>
        <v>-1062.4499999999971</v>
      </c>
      <c r="G56" s="73">
        <v>36592.300000000003</v>
      </c>
      <c r="H56" s="73">
        <v>42482.802250000001</v>
      </c>
      <c r="I56" s="73">
        <v>42482.802250000001</v>
      </c>
      <c r="J56" s="95">
        <f t="shared" si="10"/>
        <v>0</v>
      </c>
      <c r="L56" s="73">
        <v>37838.800000000003</v>
      </c>
      <c r="M56" s="73">
        <v>41501.699999999997</v>
      </c>
      <c r="N56" s="73">
        <v>41501.699999999997</v>
      </c>
      <c r="O56" s="95">
        <f t="shared" si="11"/>
        <v>0</v>
      </c>
    </row>
    <row r="57" spans="1:15" s="45" customFormat="1" ht="39" x14ac:dyDescent="0.25">
      <c r="A57" s="44" t="s">
        <v>165</v>
      </c>
      <c r="B57" s="70">
        <f>SUM(B58:B59)</f>
        <v>70542.7</v>
      </c>
      <c r="C57" s="70">
        <f>SUM(C58:C59)</f>
        <v>105827.40000000001</v>
      </c>
      <c r="D57" s="70">
        <f>SUM(D58:D59)</f>
        <v>108892.8</v>
      </c>
      <c r="E57" s="94">
        <f t="shared" si="9"/>
        <v>3065.3999999999942</v>
      </c>
      <c r="F57" s="124"/>
      <c r="G57" s="70">
        <f>SUM(G58:G59)</f>
        <v>72749.2</v>
      </c>
      <c r="H57" s="70">
        <f>SUM(H58:H59)</f>
        <v>73745.099999999991</v>
      </c>
      <c r="I57" s="70">
        <f>SUM(I58:I59)</f>
        <v>73745.099999999991</v>
      </c>
      <c r="J57" s="94">
        <f t="shared" si="10"/>
        <v>0</v>
      </c>
      <c r="L57" s="70">
        <f>SUM(L58:L59)</f>
        <v>74858</v>
      </c>
      <c r="M57" s="70">
        <f>SUM(M58:M59)</f>
        <v>76237.099999999991</v>
      </c>
      <c r="N57" s="70">
        <f>SUM(N58:N59)</f>
        <v>76237.099999999991</v>
      </c>
      <c r="O57" s="94">
        <f t="shared" si="11"/>
        <v>0</v>
      </c>
    </row>
    <row r="58" spans="1:15" x14ac:dyDescent="0.25">
      <c r="A58" s="48" t="s">
        <v>166</v>
      </c>
      <c r="B58" s="73">
        <v>62483.199999999997</v>
      </c>
      <c r="C58" s="73">
        <v>95956.800000000003</v>
      </c>
      <c r="D58" s="73">
        <v>99022.2</v>
      </c>
      <c r="E58" s="95">
        <f t="shared" si="9"/>
        <v>3065.3999999999942</v>
      </c>
      <c r="G58" s="73">
        <v>64453.1</v>
      </c>
      <c r="H58" s="73">
        <v>64402.2</v>
      </c>
      <c r="I58" s="73">
        <v>64402.2</v>
      </c>
      <c r="J58" s="95">
        <f t="shared" si="10"/>
        <v>0</v>
      </c>
      <c r="L58" s="73">
        <v>66241</v>
      </c>
      <c r="M58" s="73">
        <v>66531.399999999994</v>
      </c>
      <c r="N58" s="73">
        <v>66531.399999999994</v>
      </c>
      <c r="O58" s="95">
        <f t="shared" si="11"/>
        <v>0</v>
      </c>
    </row>
    <row r="59" spans="1:15" ht="39" x14ac:dyDescent="0.25">
      <c r="A59" s="48" t="s">
        <v>167</v>
      </c>
      <c r="B59" s="73">
        <v>8059.5</v>
      </c>
      <c r="C59" s="73">
        <v>9870.6</v>
      </c>
      <c r="D59" s="73">
        <v>9870.6</v>
      </c>
      <c r="E59" s="95">
        <f t="shared" si="9"/>
        <v>0</v>
      </c>
      <c r="G59" s="73">
        <v>8296.1</v>
      </c>
      <c r="H59" s="73">
        <v>9342.9</v>
      </c>
      <c r="I59" s="73">
        <v>9342.9</v>
      </c>
      <c r="J59" s="95">
        <f t="shared" si="10"/>
        <v>0</v>
      </c>
      <c r="L59" s="73">
        <v>8617</v>
      </c>
      <c r="M59" s="73">
        <v>9705.7000000000007</v>
      </c>
      <c r="N59" s="73">
        <v>9705.7000000000007</v>
      </c>
      <c r="O59" s="95">
        <f t="shared" si="11"/>
        <v>0</v>
      </c>
    </row>
    <row r="60" spans="1:15" s="45" customFormat="1" x14ac:dyDescent="0.25">
      <c r="A60" s="44" t="s">
        <v>101</v>
      </c>
      <c r="B60" s="70">
        <f>SUM(B61:B62)</f>
        <v>1964.1999999999998</v>
      </c>
      <c r="C60" s="70">
        <f>SUM(C61:C62)</f>
        <v>4019.7</v>
      </c>
      <c r="D60" s="70">
        <f>SUM(D61:D62)</f>
        <v>4019.7</v>
      </c>
      <c r="E60" s="94">
        <f t="shared" si="9"/>
        <v>0</v>
      </c>
      <c r="F60" s="124"/>
      <c r="G60" s="70">
        <f>SUM(G61:G62)</f>
        <v>2008.8000000000002</v>
      </c>
      <c r="H60" s="70">
        <f>SUM(H61:H62)</f>
        <v>2023.8000000000002</v>
      </c>
      <c r="I60" s="70">
        <f>SUM(I61:I62)</f>
        <v>2023.8000000000002</v>
      </c>
      <c r="J60" s="94">
        <f t="shared" si="10"/>
        <v>0</v>
      </c>
      <c r="L60" s="70">
        <f>SUM(L61:L62)</f>
        <v>1999.6</v>
      </c>
      <c r="M60" s="70">
        <f>SUM(M61:M62)</f>
        <v>2014.6</v>
      </c>
      <c r="N60" s="70">
        <f>SUM(N61:N62)</f>
        <v>2014.6</v>
      </c>
      <c r="O60" s="94">
        <f t="shared" si="11"/>
        <v>0</v>
      </c>
    </row>
    <row r="61" spans="1:15" ht="39" x14ac:dyDescent="0.25">
      <c r="A61" s="48" t="s">
        <v>168</v>
      </c>
      <c r="B61" s="73">
        <v>957.3</v>
      </c>
      <c r="C61" s="73">
        <v>2997.7</v>
      </c>
      <c r="D61" s="73">
        <v>2997.7</v>
      </c>
      <c r="E61" s="95">
        <f t="shared" si="9"/>
        <v>0</v>
      </c>
      <c r="G61" s="73">
        <v>978.9</v>
      </c>
      <c r="H61" s="73">
        <v>978.9</v>
      </c>
      <c r="I61" s="73">
        <v>978.9</v>
      </c>
      <c r="J61" s="95">
        <f t="shared" si="10"/>
        <v>0</v>
      </c>
      <c r="L61" s="73">
        <v>1007.7</v>
      </c>
      <c r="M61" s="73">
        <v>1007.7</v>
      </c>
      <c r="N61" s="73">
        <v>1007.7</v>
      </c>
      <c r="O61" s="95">
        <f t="shared" si="11"/>
        <v>0</v>
      </c>
    </row>
    <row r="62" spans="1:15" ht="39" x14ac:dyDescent="0.25">
      <c r="A62" s="48" t="s">
        <v>169</v>
      </c>
      <c r="B62" s="73">
        <v>1006.9</v>
      </c>
      <c r="C62" s="73">
        <v>1022</v>
      </c>
      <c r="D62" s="73">
        <v>1022</v>
      </c>
      <c r="E62" s="95">
        <f t="shared" si="9"/>
        <v>0</v>
      </c>
      <c r="G62" s="73">
        <v>1029.9000000000001</v>
      </c>
      <c r="H62" s="73">
        <v>1044.9000000000001</v>
      </c>
      <c r="I62" s="73">
        <v>1044.9000000000001</v>
      </c>
      <c r="J62" s="95">
        <f t="shared" si="10"/>
        <v>0</v>
      </c>
      <c r="L62" s="73">
        <v>991.9</v>
      </c>
      <c r="M62" s="73">
        <v>1006.9</v>
      </c>
      <c r="N62" s="73">
        <v>1006.9</v>
      </c>
      <c r="O62" s="95">
        <f t="shared" si="11"/>
        <v>0</v>
      </c>
    </row>
    <row r="63" spans="1:15" s="45" customFormat="1" x14ac:dyDescent="0.25">
      <c r="A63" s="44" t="s">
        <v>170</v>
      </c>
      <c r="B63" s="70">
        <f>SUM(B64:B68)</f>
        <v>782849.9</v>
      </c>
      <c r="C63" s="70">
        <f>SUM(C64:C68)</f>
        <v>610914.5</v>
      </c>
      <c r="D63" s="70">
        <f>SUM(D64:D68)</f>
        <v>625957.69999999995</v>
      </c>
      <c r="E63" s="94">
        <f t="shared" si="9"/>
        <v>15043.199999999953</v>
      </c>
      <c r="F63" s="124"/>
      <c r="G63" s="70">
        <f>SUM(G64:G68)</f>
        <v>815144.59999999986</v>
      </c>
      <c r="H63" s="70">
        <f>SUM(H64:H68)</f>
        <v>466007</v>
      </c>
      <c r="I63" s="70">
        <f>SUM(I64:I68)</f>
        <v>466007</v>
      </c>
      <c r="J63" s="94">
        <f t="shared" si="10"/>
        <v>0</v>
      </c>
      <c r="L63" s="70">
        <f>SUM(L64:L68)</f>
        <v>481115.1</v>
      </c>
      <c r="M63" s="70">
        <f>SUM(M64:M68)</f>
        <v>456600.5</v>
      </c>
      <c r="N63" s="70">
        <f>SUM(N64:N68)</f>
        <v>456600.5</v>
      </c>
      <c r="O63" s="94">
        <f t="shared" si="11"/>
        <v>0</v>
      </c>
    </row>
    <row r="64" spans="1:15" x14ac:dyDescent="0.25">
      <c r="A64" s="48" t="s">
        <v>171</v>
      </c>
      <c r="B64" s="73">
        <v>5038</v>
      </c>
      <c r="C64" s="73">
        <v>5038</v>
      </c>
      <c r="D64" s="73">
        <v>5038</v>
      </c>
      <c r="E64" s="95">
        <f t="shared" si="9"/>
        <v>0</v>
      </c>
      <c r="G64" s="73">
        <v>5038</v>
      </c>
      <c r="H64" s="73">
        <v>5038</v>
      </c>
      <c r="I64" s="73">
        <v>5038</v>
      </c>
      <c r="J64" s="95">
        <f t="shared" si="10"/>
        <v>0</v>
      </c>
      <c r="L64" s="73">
        <v>5038</v>
      </c>
      <c r="M64" s="73">
        <v>5038</v>
      </c>
      <c r="N64" s="73">
        <v>5038</v>
      </c>
      <c r="O64" s="95">
        <f t="shared" si="11"/>
        <v>0</v>
      </c>
    </row>
    <row r="65" spans="1:15" ht="39" x14ac:dyDescent="0.25">
      <c r="A65" s="48" t="s">
        <v>102</v>
      </c>
      <c r="B65" s="73">
        <v>57002.7</v>
      </c>
      <c r="C65" s="73">
        <v>57518.2</v>
      </c>
      <c r="D65" s="73">
        <v>71460.899999999994</v>
      </c>
      <c r="E65" s="95">
        <f t="shared" si="9"/>
        <v>13942.699999999997</v>
      </c>
      <c r="G65" s="73">
        <v>60861.8</v>
      </c>
      <c r="H65" s="73">
        <v>60723.1</v>
      </c>
      <c r="I65" s="73">
        <v>60723.1</v>
      </c>
      <c r="J65" s="95">
        <f t="shared" si="10"/>
        <v>0</v>
      </c>
      <c r="L65" s="73">
        <v>64342.8</v>
      </c>
      <c r="M65" s="73">
        <v>64394.5</v>
      </c>
      <c r="N65" s="73">
        <v>64394.5</v>
      </c>
      <c r="O65" s="95">
        <f t="shared" si="11"/>
        <v>0</v>
      </c>
    </row>
    <row r="66" spans="1:15" ht="39" x14ac:dyDescent="0.25">
      <c r="A66" s="48" t="s">
        <v>103</v>
      </c>
      <c r="B66" s="73">
        <v>167159.1</v>
      </c>
      <c r="C66" s="73">
        <v>164736.4</v>
      </c>
      <c r="D66" s="73">
        <v>165832.79999999999</v>
      </c>
      <c r="E66" s="95">
        <f t="shared" si="9"/>
        <v>1096.3999999999942</v>
      </c>
      <c r="G66" s="73">
        <v>172353</v>
      </c>
      <c r="H66" s="73">
        <v>163389.6</v>
      </c>
      <c r="I66" s="73">
        <v>163389.6</v>
      </c>
      <c r="J66" s="95">
        <f t="shared" si="10"/>
        <v>0</v>
      </c>
      <c r="L66" s="73">
        <v>144474.79999999999</v>
      </c>
      <c r="M66" s="73">
        <v>168395.6</v>
      </c>
      <c r="N66" s="73">
        <v>168395.6</v>
      </c>
      <c r="O66" s="95">
        <f t="shared" si="11"/>
        <v>0</v>
      </c>
    </row>
    <row r="67" spans="1:15" x14ac:dyDescent="0.25">
      <c r="A67" s="48" t="s">
        <v>104</v>
      </c>
      <c r="B67" s="73">
        <v>519391</v>
      </c>
      <c r="C67" s="73">
        <v>337716.5</v>
      </c>
      <c r="D67" s="73">
        <v>337720.6</v>
      </c>
      <c r="E67" s="95">
        <f t="shared" si="9"/>
        <v>4.0999999999767169</v>
      </c>
      <c r="G67" s="73">
        <v>541970.6</v>
      </c>
      <c r="H67" s="73">
        <v>197618.3</v>
      </c>
      <c r="I67" s="73">
        <v>197618.3</v>
      </c>
      <c r="J67" s="95">
        <f t="shared" si="10"/>
        <v>0</v>
      </c>
      <c r="L67" s="73">
        <v>231001.2</v>
      </c>
      <c r="M67" s="73">
        <v>182456.8</v>
      </c>
      <c r="N67" s="73">
        <v>182456.8</v>
      </c>
      <c r="O67" s="95">
        <f t="shared" si="11"/>
        <v>0</v>
      </c>
    </row>
    <row r="68" spans="1:15" ht="39" x14ac:dyDescent="0.25">
      <c r="A68" s="48" t="s">
        <v>172</v>
      </c>
      <c r="B68" s="73">
        <v>34259.1</v>
      </c>
      <c r="C68" s="73">
        <v>45905.4</v>
      </c>
      <c r="D68" s="73">
        <v>45905.4</v>
      </c>
      <c r="E68" s="95">
        <f t="shared" si="9"/>
        <v>0</v>
      </c>
      <c r="G68" s="73">
        <v>34921.199999999997</v>
      </c>
      <c r="H68" s="73">
        <v>39238</v>
      </c>
      <c r="I68" s="73">
        <v>39238</v>
      </c>
      <c r="J68" s="95">
        <f t="shared" si="10"/>
        <v>0</v>
      </c>
      <c r="L68" s="73">
        <v>36258.300000000003</v>
      </c>
      <c r="M68" s="73">
        <v>36315.599999999999</v>
      </c>
      <c r="N68" s="73">
        <v>36315.599999999999</v>
      </c>
      <c r="O68" s="95">
        <f t="shared" si="11"/>
        <v>0</v>
      </c>
    </row>
    <row r="69" spans="1:15" s="45" customFormat="1" ht="39" x14ac:dyDescent="0.25">
      <c r="A69" s="44" t="s">
        <v>173</v>
      </c>
      <c r="B69" s="70">
        <f>SUM(B70)</f>
        <v>993.3</v>
      </c>
      <c r="C69" s="70">
        <f>SUM(C70)</f>
        <v>138848.4</v>
      </c>
      <c r="D69" s="70">
        <f>SUM(D70)</f>
        <v>138848.4</v>
      </c>
      <c r="E69" s="94">
        <f t="shared" si="9"/>
        <v>0</v>
      </c>
      <c r="G69" s="70">
        <f>SUM(G70)</f>
        <v>993.3</v>
      </c>
      <c r="H69" s="70">
        <f>SUM(H70)</f>
        <v>170898.9</v>
      </c>
      <c r="I69" s="70">
        <f>SUM(I70)</f>
        <v>170898.9</v>
      </c>
      <c r="J69" s="94">
        <f t="shared" si="10"/>
        <v>0</v>
      </c>
      <c r="L69" s="70">
        <f>SUM(L70)</f>
        <v>993.3</v>
      </c>
      <c r="M69" s="70">
        <f>SUM(M70)</f>
        <v>59239.9</v>
      </c>
      <c r="N69" s="70">
        <f>SUM(N70)</f>
        <v>59239.9</v>
      </c>
      <c r="O69" s="94">
        <f t="shared" si="11"/>
        <v>0</v>
      </c>
    </row>
    <row r="70" spans="1:15" x14ac:dyDescent="0.25">
      <c r="A70" s="48" t="s">
        <v>174</v>
      </c>
      <c r="B70" s="73">
        <v>993.3</v>
      </c>
      <c r="C70" s="73">
        <v>138848.4</v>
      </c>
      <c r="D70" s="73">
        <v>138848.4</v>
      </c>
      <c r="E70" s="95">
        <f t="shared" si="9"/>
        <v>0</v>
      </c>
      <c r="G70" s="73">
        <v>993.3</v>
      </c>
      <c r="H70" s="73">
        <v>170898.9</v>
      </c>
      <c r="I70" s="73">
        <v>170898.9</v>
      </c>
      <c r="J70" s="95">
        <f t="shared" si="10"/>
        <v>0</v>
      </c>
      <c r="L70" s="73">
        <v>993.3</v>
      </c>
      <c r="M70" s="73">
        <v>59239.9</v>
      </c>
      <c r="N70" s="73">
        <v>59239.9</v>
      </c>
      <c r="O70" s="95">
        <f t="shared" si="11"/>
        <v>0</v>
      </c>
    </row>
    <row r="71" spans="1:15" x14ac:dyDescent="0.25">
      <c r="A71" s="45"/>
      <c r="B71" s="72"/>
      <c r="C71" s="72"/>
      <c r="D71" s="72"/>
      <c r="E71" s="97"/>
      <c r="G71" s="72"/>
      <c r="H71" s="72"/>
      <c r="I71" s="72"/>
      <c r="J71" s="97"/>
      <c r="L71" s="72"/>
      <c r="M71" s="72"/>
      <c r="N71" s="72"/>
      <c r="O71" s="97"/>
    </row>
    <row r="72" spans="1:15" s="45" customFormat="1" x14ac:dyDescent="0.25">
      <c r="A72" s="44" t="s">
        <v>194</v>
      </c>
      <c r="B72" s="70">
        <f>B6-B26</f>
        <v>0</v>
      </c>
      <c r="C72" s="70">
        <f>C6-C26</f>
        <v>-58959.379999999888</v>
      </c>
      <c r="D72" s="70">
        <f>D6-D26</f>
        <v>-58959.350000000559</v>
      </c>
      <c r="E72" s="94">
        <f>D72-C72</f>
        <v>2.9999999329447746E-2</v>
      </c>
      <c r="G72" s="70">
        <f>G6-G26</f>
        <v>0</v>
      </c>
      <c r="H72" s="70">
        <f>H6-H26</f>
        <v>-2.2500003688037395E-3</v>
      </c>
      <c r="I72" s="70">
        <f>I6-I26</f>
        <v>-2.2500003688037395E-3</v>
      </c>
      <c r="J72" s="94">
        <f>I72-H72</f>
        <v>0</v>
      </c>
      <c r="L72" s="70">
        <f>L6-L26</f>
        <v>0</v>
      </c>
      <c r="M72" s="70">
        <f>M6-M26</f>
        <v>0</v>
      </c>
      <c r="N72" s="70">
        <f>N6-N26</f>
        <v>0</v>
      </c>
      <c r="O72" s="94">
        <f>N72-M72</f>
        <v>0</v>
      </c>
    </row>
    <row r="73" spans="1:15" s="101" customFormat="1" x14ac:dyDescent="0.25">
      <c r="A73" s="99"/>
      <c r="B73" s="117"/>
      <c r="C73" s="117"/>
      <c r="D73" s="117"/>
      <c r="E73" s="117"/>
      <c r="F73" s="43"/>
      <c r="G73" s="117"/>
      <c r="H73" s="117"/>
      <c r="I73" s="117"/>
      <c r="J73" s="117"/>
      <c r="L73" s="117"/>
      <c r="M73" s="117"/>
      <c r="N73" s="117"/>
      <c r="O73" s="117"/>
    </row>
    <row r="74" spans="1:15" s="101" customFormat="1" x14ac:dyDescent="0.25">
      <c r="A74" s="99"/>
      <c r="B74" s="117"/>
      <c r="C74" s="100"/>
      <c r="D74" s="100"/>
      <c r="E74" s="117"/>
      <c r="F74" s="43"/>
      <c r="G74" s="117"/>
      <c r="H74" s="100"/>
      <c r="I74" s="100"/>
      <c r="J74" s="117"/>
      <c r="L74" s="117"/>
      <c r="M74" s="100"/>
      <c r="N74" s="100"/>
      <c r="O74" s="117"/>
    </row>
    <row r="75" spans="1:15" x14ac:dyDescent="0.25">
      <c r="A75" s="45"/>
      <c r="B75" s="72"/>
      <c r="C75" s="72"/>
      <c r="D75" s="72"/>
      <c r="E75" s="72"/>
      <c r="G75" s="72"/>
      <c r="H75" s="72"/>
      <c r="I75" s="72"/>
      <c r="J75" s="72"/>
      <c r="L75" s="72"/>
      <c r="M75" s="72"/>
      <c r="N75" s="72"/>
      <c r="O75" s="72"/>
    </row>
    <row r="76" spans="1:15" s="45" customFormat="1" ht="45" customHeight="1" x14ac:dyDescent="0.25">
      <c r="A76" s="196" t="s">
        <v>70</v>
      </c>
      <c r="B76" s="196"/>
      <c r="C76" s="196"/>
      <c r="D76" s="196"/>
      <c r="E76" s="196"/>
      <c r="G76" s="194" t="s">
        <v>6</v>
      </c>
      <c r="H76" s="194"/>
      <c r="I76" s="194"/>
      <c r="J76" s="194"/>
      <c r="K76" s="194"/>
      <c r="L76" s="194"/>
      <c r="M76" s="194"/>
      <c r="N76" s="194"/>
      <c r="O76" s="194"/>
    </row>
  </sheetData>
  <mergeCells count="5">
    <mergeCell ref="A1:O1"/>
    <mergeCell ref="A3:O3"/>
    <mergeCell ref="G76:O76"/>
    <mergeCell ref="A4:O4"/>
    <mergeCell ref="A76:E76"/>
  </mergeCells>
  <printOptions horizontalCentered="1"/>
  <pageMargins left="0" right="0" top="0" bottom="0" header="0.23622047244094491" footer="0.19685039370078741"/>
  <pageSetup paperSize="9" scale="62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view="pageBreakPreview" topLeftCell="A10" zoomScale="60" zoomScaleNormal="75" workbookViewId="0">
      <selection activeCell="Q5" sqref="Q5:Q13"/>
    </sheetView>
  </sheetViews>
  <sheetFormatPr defaultRowHeight="19.5" x14ac:dyDescent="0.25"/>
  <cols>
    <col min="1" max="1" width="57.7109375" style="37" customWidth="1"/>
    <col min="2" max="3" width="12.7109375" style="37" hidden="1" customWidth="1"/>
    <col min="4" max="4" width="15.7109375" style="29" hidden="1" customWidth="1"/>
    <col min="5" max="7" width="15.7109375" style="29" customWidth="1"/>
    <col min="8" max="8" width="9.140625" style="37" customWidth="1"/>
    <col min="9" max="9" width="15.7109375" style="29" hidden="1" customWidth="1"/>
    <col min="10" max="12" width="15.7109375" style="29" customWidth="1"/>
    <col min="13" max="13" width="9.140625" style="37" customWidth="1"/>
    <col min="14" max="14" width="15.7109375" style="29" hidden="1" customWidth="1"/>
    <col min="15" max="17" width="15.7109375" style="29" customWidth="1"/>
    <col min="18" max="16384" width="9.140625" style="37"/>
  </cols>
  <sheetData>
    <row r="1" spans="1:17" s="21" customFormat="1" x14ac:dyDescent="0.25">
      <c r="A1" s="216" t="s">
        <v>154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</row>
    <row r="2" spans="1:17" s="89" customFormat="1" ht="108" customHeight="1" x14ac:dyDescent="0.25">
      <c r="A2" s="207" t="s">
        <v>292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</row>
    <row r="3" spans="1:17" s="89" customFormat="1" ht="20.25" x14ac:dyDescent="0.25">
      <c r="A3" s="208" t="s">
        <v>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</row>
    <row r="4" spans="1:17" s="89" customFormat="1" ht="195" x14ac:dyDescent="0.25">
      <c r="A4" s="38" t="s">
        <v>1</v>
      </c>
      <c r="B4" s="38" t="s">
        <v>84</v>
      </c>
      <c r="C4" s="38" t="s">
        <v>122</v>
      </c>
      <c r="D4" s="51" t="s">
        <v>315</v>
      </c>
      <c r="E4" s="51" t="s">
        <v>340</v>
      </c>
      <c r="F4" s="51" t="s">
        <v>316</v>
      </c>
      <c r="G4" s="51" t="s">
        <v>196</v>
      </c>
      <c r="I4" s="51" t="s">
        <v>317</v>
      </c>
      <c r="J4" s="51" t="s">
        <v>341</v>
      </c>
      <c r="K4" s="51" t="s">
        <v>318</v>
      </c>
      <c r="L4" s="51" t="s">
        <v>196</v>
      </c>
      <c r="N4" s="51" t="s">
        <v>319</v>
      </c>
      <c r="O4" s="51" t="s">
        <v>343</v>
      </c>
      <c r="P4" s="51" t="s">
        <v>320</v>
      </c>
      <c r="Q4" s="51" t="s">
        <v>196</v>
      </c>
    </row>
    <row r="5" spans="1:17" ht="58.5" x14ac:dyDescent="0.25">
      <c r="A5" s="55" t="s">
        <v>146</v>
      </c>
      <c r="B5" s="56">
        <v>914</v>
      </c>
      <c r="C5" s="55"/>
      <c r="D5" s="57">
        <v>815.8</v>
      </c>
      <c r="E5" s="57">
        <v>1035.5</v>
      </c>
      <c r="F5" s="57">
        <v>1035.5</v>
      </c>
      <c r="G5" s="77">
        <f>F5-E5</f>
        <v>0</v>
      </c>
      <c r="I5" s="57">
        <v>861.2</v>
      </c>
      <c r="J5" s="57">
        <v>1042.3</v>
      </c>
      <c r="K5" s="57">
        <v>1042.3</v>
      </c>
      <c r="L5" s="77">
        <f t="shared" ref="L5:L13" si="0">K5-J5</f>
        <v>0</v>
      </c>
      <c r="N5" s="57">
        <v>895.4</v>
      </c>
      <c r="O5" s="57">
        <v>1084.3</v>
      </c>
      <c r="P5" s="57">
        <v>1084.3</v>
      </c>
      <c r="Q5" s="77">
        <f t="shared" ref="Q5:Q13" si="1">P5-O5</f>
        <v>0</v>
      </c>
    </row>
    <row r="6" spans="1:17" ht="97.5" x14ac:dyDescent="0.25">
      <c r="A6" s="55" t="s">
        <v>147</v>
      </c>
      <c r="B6" s="56">
        <v>914</v>
      </c>
      <c r="C6" s="55"/>
      <c r="D6" s="57">
        <v>652.6</v>
      </c>
      <c r="E6" s="57">
        <v>828.3</v>
      </c>
      <c r="F6" s="57">
        <v>828.3</v>
      </c>
      <c r="G6" s="77">
        <f t="shared" ref="G6:G12" si="2">F6-E6</f>
        <v>0</v>
      </c>
      <c r="I6" s="57">
        <v>688.7</v>
      </c>
      <c r="J6" s="57">
        <v>834.1</v>
      </c>
      <c r="K6" s="57">
        <v>834.1</v>
      </c>
      <c r="L6" s="77">
        <f t="shared" si="0"/>
        <v>0</v>
      </c>
      <c r="N6" s="57">
        <v>716.6</v>
      </c>
      <c r="O6" s="57">
        <v>867.3</v>
      </c>
      <c r="P6" s="57">
        <v>867.3</v>
      </c>
      <c r="Q6" s="77">
        <f t="shared" si="1"/>
        <v>0</v>
      </c>
    </row>
    <row r="7" spans="1:17" ht="58.5" x14ac:dyDescent="0.25">
      <c r="A7" s="55" t="s">
        <v>148</v>
      </c>
      <c r="B7" s="56">
        <v>904</v>
      </c>
      <c r="C7" s="55"/>
      <c r="D7" s="57">
        <v>856.8</v>
      </c>
      <c r="E7" s="57">
        <v>1041.2</v>
      </c>
      <c r="F7" s="57">
        <v>1041.2</v>
      </c>
      <c r="G7" s="77">
        <f t="shared" si="2"/>
        <v>0</v>
      </c>
      <c r="I7" s="57">
        <v>898.5</v>
      </c>
      <c r="J7" s="57">
        <v>1042.4000000000001</v>
      </c>
      <c r="K7" s="57">
        <v>1042.4000000000001</v>
      </c>
      <c r="L7" s="77">
        <f t="shared" si="0"/>
        <v>0</v>
      </c>
      <c r="N7" s="57">
        <v>934.9</v>
      </c>
      <c r="O7" s="57">
        <v>1083.5999999999999</v>
      </c>
      <c r="P7" s="57">
        <v>1083.5999999999999</v>
      </c>
      <c r="Q7" s="77">
        <f t="shared" si="1"/>
        <v>0</v>
      </c>
    </row>
    <row r="8" spans="1:17" ht="156" x14ac:dyDescent="0.25">
      <c r="A8" s="55" t="s">
        <v>149</v>
      </c>
      <c r="B8" s="56">
        <v>902</v>
      </c>
      <c r="C8" s="55"/>
      <c r="D8" s="57">
        <v>97.2</v>
      </c>
      <c r="E8" s="57">
        <v>124.4</v>
      </c>
      <c r="F8" s="57">
        <v>124.4</v>
      </c>
      <c r="G8" s="77">
        <f t="shared" si="2"/>
        <v>0</v>
      </c>
      <c r="I8" s="57">
        <v>102.6</v>
      </c>
      <c r="J8" s="57">
        <v>125</v>
      </c>
      <c r="K8" s="57">
        <v>125</v>
      </c>
      <c r="L8" s="77">
        <f t="shared" si="0"/>
        <v>0</v>
      </c>
      <c r="N8" s="57">
        <v>106.7</v>
      </c>
      <c r="O8" s="57">
        <v>130</v>
      </c>
      <c r="P8" s="57">
        <v>130</v>
      </c>
      <c r="Q8" s="77">
        <f t="shared" si="1"/>
        <v>0</v>
      </c>
    </row>
    <row r="9" spans="1:17" ht="97.5" x14ac:dyDescent="0.25">
      <c r="A9" s="55" t="s">
        <v>150</v>
      </c>
      <c r="B9" s="56">
        <v>902</v>
      </c>
      <c r="C9" s="55"/>
      <c r="D9" s="57">
        <v>724.2</v>
      </c>
      <c r="E9" s="57">
        <v>918</v>
      </c>
      <c r="F9" s="57">
        <v>918</v>
      </c>
      <c r="G9" s="77">
        <f t="shared" si="2"/>
        <v>0</v>
      </c>
      <c r="I9" s="57">
        <v>764.4</v>
      </c>
      <c r="J9" s="57">
        <v>924.2</v>
      </c>
      <c r="K9" s="57">
        <v>924.2</v>
      </c>
      <c r="L9" s="77">
        <f t="shared" si="0"/>
        <v>0</v>
      </c>
      <c r="N9" s="57">
        <v>794.8</v>
      </c>
      <c r="O9" s="57">
        <v>961</v>
      </c>
      <c r="P9" s="57">
        <v>961</v>
      </c>
      <c r="Q9" s="77">
        <f t="shared" si="1"/>
        <v>0</v>
      </c>
    </row>
    <row r="10" spans="1:17" ht="78" x14ac:dyDescent="0.25">
      <c r="A10" s="55" t="s">
        <v>151</v>
      </c>
      <c r="B10" s="56">
        <v>906</v>
      </c>
      <c r="C10" s="55"/>
      <c r="D10" s="57">
        <v>1832.3</v>
      </c>
      <c r="E10" s="57">
        <v>1812.3</v>
      </c>
      <c r="F10" s="57">
        <v>1812.3</v>
      </c>
      <c r="G10" s="77">
        <f t="shared" si="2"/>
        <v>0</v>
      </c>
      <c r="I10" s="57">
        <v>1973.4</v>
      </c>
      <c r="J10" s="57">
        <v>1951.8</v>
      </c>
      <c r="K10" s="57">
        <v>1951.8</v>
      </c>
      <c r="L10" s="77">
        <f t="shared" si="0"/>
        <v>0</v>
      </c>
      <c r="N10" s="57">
        <v>2101.6999999999998</v>
      </c>
      <c r="O10" s="57">
        <v>2088.4</v>
      </c>
      <c r="P10" s="57">
        <v>2088.4</v>
      </c>
      <c r="Q10" s="77">
        <f t="shared" si="1"/>
        <v>0</v>
      </c>
    </row>
    <row r="11" spans="1:17" ht="58.5" x14ac:dyDescent="0.25">
      <c r="A11" s="55" t="s">
        <v>152</v>
      </c>
      <c r="B11" s="56">
        <v>906</v>
      </c>
      <c r="C11" s="55"/>
      <c r="D11" s="57">
        <v>65.599999999999994</v>
      </c>
      <c r="E11" s="57">
        <v>65.599999999999994</v>
      </c>
      <c r="F11" s="57">
        <v>65.599999999999994</v>
      </c>
      <c r="G11" s="77">
        <f t="shared" si="2"/>
        <v>0</v>
      </c>
      <c r="I11" s="57">
        <v>65.599999999999994</v>
      </c>
      <c r="J11" s="57">
        <v>65.599999999999994</v>
      </c>
      <c r="K11" s="57">
        <v>65.599999999999994</v>
      </c>
      <c r="L11" s="77">
        <f t="shared" si="0"/>
        <v>0</v>
      </c>
      <c r="N11" s="57">
        <v>65.599999999999994</v>
      </c>
      <c r="O11" s="57">
        <v>65.599999999999994</v>
      </c>
      <c r="P11" s="57">
        <v>65.599999999999994</v>
      </c>
      <c r="Q11" s="77">
        <f t="shared" si="1"/>
        <v>0</v>
      </c>
    </row>
    <row r="12" spans="1:17" ht="97.5" x14ac:dyDescent="0.25">
      <c r="A12" s="55" t="s">
        <v>153</v>
      </c>
      <c r="B12" s="56">
        <v>904</v>
      </c>
      <c r="C12" s="55"/>
      <c r="D12" s="57">
        <v>942.4</v>
      </c>
      <c r="E12" s="57">
        <v>1144.5</v>
      </c>
      <c r="F12" s="57">
        <v>1144.5</v>
      </c>
      <c r="G12" s="77">
        <f t="shared" si="2"/>
        <v>0</v>
      </c>
      <c r="I12" s="57">
        <v>975.1</v>
      </c>
      <c r="J12" s="57">
        <v>1132.8</v>
      </c>
      <c r="K12" s="57">
        <v>1132.8</v>
      </c>
      <c r="L12" s="77">
        <f t="shared" si="0"/>
        <v>0</v>
      </c>
      <c r="N12" s="57">
        <v>1029</v>
      </c>
      <c r="O12" s="57">
        <v>1192</v>
      </c>
      <c r="P12" s="57">
        <v>1192</v>
      </c>
      <c r="Q12" s="77">
        <f t="shared" si="1"/>
        <v>0</v>
      </c>
    </row>
    <row r="13" spans="1:17" s="89" customFormat="1" ht="40.5" customHeight="1" x14ac:dyDescent="0.25">
      <c r="A13" s="38" t="s">
        <v>4</v>
      </c>
      <c r="B13" s="38"/>
      <c r="C13" s="38"/>
      <c r="D13" s="28">
        <f>SUM(D5:D12)</f>
        <v>5986.9</v>
      </c>
      <c r="E13" s="28">
        <f>SUM(E5:E12)</f>
        <v>6969.8</v>
      </c>
      <c r="F13" s="28">
        <f>SUM(F5:F12)</f>
        <v>6969.8</v>
      </c>
      <c r="G13" s="78">
        <f>F13-E13</f>
        <v>0</v>
      </c>
      <c r="I13" s="28">
        <f t="shared" ref="I13:K13" si="3">SUM(I5:I12)</f>
        <v>6329.5000000000009</v>
      </c>
      <c r="J13" s="28">
        <f t="shared" ref="J13" si="4">SUM(J5:J12)</f>
        <v>7118.2000000000007</v>
      </c>
      <c r="K13" s="28">
        <f t="shared" si="3"/>
        <v>7118.2000000000007</v>
      </c>
      <c r="L13" s="78">
        <f t="shared" si="0"/>
        <v>0</v>
      </c>
      <c r="N13" s="28">
        <f t="shared" ref="N13" si="5">SUM(N5:N12)</f>
        <v>6644.7</v>
      </c>
      <c r="O13" s="28">
        <f t="shared" ref="O13:P13" si="6">SUM(O5:O12)</f>
        <v>7472.2000000000007</v>
      </c>
      <c r="P13" s="28">
        <f t="shared" si="6"/>
        <v>7472.2000000000007</v>
      </c>
      <c r="Q13" s="78">
        <f t="shared" si="1"/>
        <v>0</v>
      </c>
    </row>
    <row r="17" spans="1:17" s="23" customFormat="1" ht="49.5" customHeight="1" x14ac:dyDescent="0.25">
      <c r="A17" s="218" t="s">
        <v>5</v>
      </c>
      <c r="B17" s="218"/>
      <c r="C17" s="218"/>
      <c r="D17" s="218"/>
      <c r="I17" s="217" t="s">
        <v>6</v>
      </c>
      <c r="J17" s="217"/>
      <c r="K17" s="217"/>
      <c r="L17" s="217"/>
      <c r="M17" s="217"/>
      <c r="N17" s="217"/>
      <c r="O17" s="217"/>
      <c r="P17" s="217"/>
      <c r="Q17" s="217"/>
    </row>
  </sheetData>
  <mergeCells count="5">
    <mergeCell ref="A2:Q2"/>
    <mergeCell ref="A3:Q3"/>
    <mergeCell ref="A1:Q1"/>
    <mergeCell ref="A17:D17"/>
    <mergeCell ref="I17:Q17"/>
  </mergeCells>
  <printOptions horizontalCentered="1"/>
  <pageMargins left="0" right="0" top="0" bottom="0" header="0.31496062992125984" footer="0.31496062992125984"/>
  <pageSetup paperSize="9" scale="6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topLeftCell="A37" zoomScale="85" zoomScaleNormal="85" zoomScaleSheetLayoutView="85" workbookViewId="0">
      <selection activeCell="A37" sqref="A37"/>
    </sheetView>
  </sheetViews>
  <sheetFormatPr defaultRowHeight="19.5" x14ac:dyDescent="0.25"/>
  <cols>
    <col min="1" max="1" width="75.42578125" style="143" customWidth="1"/>
    <col min="2" max="4" width="27.7109375" style="144" customWidth="1"/>
    <col min="5" max="6" width="9.140625" style="129"/>
    <col min="7" max="7" width="12.5703125" style="129" bestFit="1" customWidth="1"/>
    <col min="8" max="16384" width="9.140625" style="129"/>
  </cols>
  <sheetData>
    <row r="1" spans="1:4" x14ac:dyDescent="0.25">
      <c r="A1" s="223" t="s">
        <v>347</v>
      </c>
      <c r="B1" s="223"/>
      <c r="C1" s="223"/>
      <c r="D1" s="223"/>
    </row>
    <row r="3" spans="1:4" s="130" customFormat="1" ht="58.5" customHeight="1" x14ac:dyDescent="0.25">
      <c r="A3" s="224" t="s">
        <v>354</v>
      </c>
      <c r="B3" s="224"/>
      <c r="C3" s="224"/>
      <c r="D3" s="224"/>
    </row>
    <row r="4" spans="1:4" x14ac:dyDescent="0.25">
      <c r="A4" s="225" t="s">
        <v>0</v>
      </c>
      <c r="B4" s="225"/>
      <c r="C4" s="225"/>
      <c r="D4" s="225"/>
    </row>
    <row r="5" spans="1:4" s="133" customFormat="1" ht="48" customHeight="1" x14ac:dyDescent="0.25">
      <c r="A5" s="131" t="s">
        <v>1</v>
      </c>
      <c r="B5" s="132" t="s">
        <v>204</v>
      </c>
      <c r="C5" s="132" t="s">
        <v>205</v>
      </c>
      <c r="D5" s="132" t="s">
        <v>355</v>
      </c>
    </row>
    <row r="6" spans="1:4" s="130" customFormat="1" ht="54.75" hidden="1" customHeight="1" x14ac:dyDescent="0.25">
      <c r="A6" s="226" t="s">
        <v>356</v>
      </c>
      <c r="B6" s="227"/>
      <c r="C6" s="227"/>
      <c r="D6" s="228"/>
    </row>
    <row r="7" spans="1:4" s="133" customFormat="1" ht="64.5" hidden="1" customHeight="1" x14ac:dyDescent="0.25">
      <c r="A7" s="131" t="s">
        <v>356</v>
      </c>
      <c r="B7" s="147">
        <f>SUM(B9:B12)</f>
        <v>0</v>
      </c>
      <c r="C7" s="147">
        <f t="shared" ref="C7:D7" si="0">SUM(C9:C12)</f>
        <v>0</v>
      </c>
      <c r="D7" s="147">
        <f t="shared" si="0"/>
        <v>0</v>
      </c>
    </row>
    <row r="8" spans="1:4" s="130" customFormat="1" ht="20.25" hidden="1" x14ac:dyDescent="0.25">
      <c r="A8" s="134" t="s">
        <v>349</v>
      </c>
      <c r="B8" s="135"/>
      <c r="C8" s="136"/>
      <c r="D8" s="136"/>
    </row>
    <row r="9" spans="1:4" s="138" customFormat="1" ht="45" hidden="1" customHeight="1" x14ac:dyDescent="0.25">
      <c r="A9" s="137" t="s">
        <v>357</v>
      </c>
      <c r="B9" s="142"/>
      <c r="C9" s="142"/>
      <c r="D9" s="142"/>
    </row>
    <row r="10" spans="1:4" s="138" customFormat="1" ht="45" hidden="1" customHeight="1" x14ac:dyDescent="0.25">
      <c r="A10" s="137" t="s">
        <v>358</v>
      </c>
      <c r="B10" s="142"/>
      <c r="C10" s="142"/>
      <c r="D10" s="142"/>
    </row>
    <row r="11" spans="1:4" s="138" customFormat="1" ht="106.5" hidden="1" customHeight="1" x14ac:dyDescent="0.25">
      <c r="A11" s="137" t="s">
        <v>359</v>
      </c>
      <c r="B11" s="142"/>
      <c r="C11" s="142"/>
      <c r="D11" s="142"/>
    </row>
    <row r="12" spans="1:4" s="138" customFormat="1" ht="20.25" hidden="1" x14ac:dyDescent="0.25">
      <c r="A12" s="139"/>
      <c r="B12" s="140"/>
      <c r="C12" s="140"/>
      <c r="D12" s="140"/>
    </row>
    <row r="13" spans="1:4" s="130" customFormat="1" ht="45" customHeight="1" x14ac:dyDescent="0.25">
      <c r="A13" s="226" t="s">
        <v>348</v>
      </c>
      <c r="B13" s="227"/>
      <c r="C13" s="227"/>
      <c r="D13" s="228"/>
    </row>
    <row r="14" spans="1:4" s="133" customFormat="1" ht="64.5" customHeight="1" x14ac:dyDescent="0.25">
      <c r="A14" s="131" t="s">
        <v>348</v>
      </c>
      <c r="B14" s="147">
        <f>SUM(B16:B17)</f>
        <v>62812.6</v>
      </c>
      <c r="C14" s="147">
        <f>SUM(C16:C17)</f>
        <v>0</v>
      </c>
      <c r="D14" s="147">
        <f>SUM(D16:D17)</f>
        <v>0</v>
      </c>
    </row>
    <row r="15" spans="1:4" s="130" customFormat="1" ht="20.25" x14ac:dyDescent="0.25">
      <c r="A15" s="134" t="s">
        <v>349</v>
      </c>
      <c r="B15" s="135"/>
      <c r="C15" s="136"/>
      <c r="D15" s="136"/>
    </row>
    <row r="16" spans="1:4" s="138" customFormat="1" ht="50.25" customHeight="1" x14ac:dyDescent="0.25">
      <c r="A16" s="137" t="s">
        <v>348</v>
      </c>
      <c r="B16" s="142">
        <f>51764.2-1425.6+8200+4274</f>
        <v>62812.6</v>
      </c>
      <c r="C16" s="142">
        <v>0</v>
      </c>
      <c r="D16" s="142">
        <v>0</v>
      </c>
    </row>
    <row r="17" spans="1:4" s="138" customFormat="1" ht="20.25" x14ac:dyDescent="0.25">
      <c r="A17" s="139"/>
      <c r="B17" s="140"/>
      <c r="C17" s="140"/>
      <c r="D17" s="140"/>
    </row>
    <row r="18" spans="1:4" s="130" customFormat="1" ht="45" customHeight="1" x14ac:dyDescent="0.25">
      <c r="A18" s="219" t="s">
        <v>350</v>
      </c>
      <c r="B18" s="220"/>
      <c r="C18" s="220"/>
      <c r="D18" s="221"/>
    </row>
    <row r="19" spans="1:4" s="133" customFormat="1" ht="47.25" customHeight="1" x14ac:dyDescent="0.25">
      <c r="A19" s="148" t="s">
        <v>350</v>
      </c>
      <c r="B19" s="147">
        <f>SUM(B21:B33)</f>
        <v>12474</v>
      </c>
      <c r="C19" s="147">
        <f>SUM(C21:C33)</f>
        <v>0</v>
      </c>
      <c r="D19" s="147">
        <f>SUM(D21:D33)</f>
        <v>0</v>
      </c>
    </row>
    <row r="20" spans="1:4" s="130" customFormat="1" ht="20.25" x14ac:dyDescent="0.25">
      <c r="A20" s="134" t="s">
        <v>349</v>
      </c>
      <c r="B20" s="135"/>
      <c r="C20" s="136"/>
      <c r="D20" s="136"/>
    </row>
    <row r="21" spans="1:4" ht="39" x14ac:dyDescent="0.25">
      <c r="A21" s="141" t="s">
        <v>379</v>
      </c>
      <c r="B21" s="142">
        <v>-85.4</v>
      </c>
      <c r="C21" s="142">
        <v>0</v>
      </c>
      <c r="D21" s="142">
        <v>0</v>
      </c>
    </row>
    <row r="22" spans="1:4" ht="58.5" x14ac:dyDescent="0.25">
      <c r="A22" s="141" t="s">
        <v>364</v>
      </c>
      <c r="B22" s="142">
        <v>-1250.5</v>
      </c>
      <c r="C22" s="142">
        <v>0</v>
      </c>
      <c r="D22" s="142">
        <v>0</v>
      </c>
    </row>
    <row r="23" spans="1:4" ht="52.5" customHeight="1" x14ac:dyDescent="0.25">
      <c r="A23" s="141" t="s">
        <v>367</v>
      </c>
      <c r="B23" s="142">
        <v>3142</v>
      </c>
      <c r="C23" s="142">
        <v>0</v>
      </c>
      <c r="D23" s="142">
        <v>0</v>
      </c>
    </row>
    <row r="24" spans="1:4" ht="58.5" x14ac:dyDescent="0.25">
      <c r="A24" s="141" t="s">
        <v>368</v>
      </c>
      <c r="B24" s="142">
        <v>970.3</v>
      </c>
      <c r="C24" s="142">
        <v>0</v>
      </c>
      <c r="D24" s="142">
        <v>0</v>
      </c>
    </row>
    <row r="25" spans="1:4" ht="63.75" customHeight="1" x14ac:dyDescent="0.25">
      <c r="A25" s="141" t="s">
        <v>373</v>
      </c>
      <c r="B25" s="142">
        <v>100</v>
      </c>
      <c r="C25" s="142">
        <v>0</v>
      </c>
      <c r="D25" s="142">
        <v>0</v>
      </c>
    </row>
    <row r="26" spans="1:4" ht="58.5" x14ac:dyDescent="0.25">
      <c r="A26" s="141" t="s">
        <v>380</v>
      </c>
      <c r="B26" s="142">
        <f>399.7</f>
        <v>399.7</v>
      </c>
      <c r="C26" s="142">
        <v>0</v>
      </c>
      <c r="D26" s="142">
        <v>0</v>
      </c>
    </row>
    <row r="27" spans="1:4" ht="58.5" x14ac:dyDescent="0.25">
      <c r="A27" s="141" t="s">
        <v>369</v>
      </c>
      <c r="B27" s="142">
        <v>431.5</v>
      </c>
      <c r="C27" s="142">
        <v>0</v>
      </c>
      <c r="D27" s="142">
        <v>0</v>
      </c>
    </row>
    <row r="28" spans="1:4" ht="58.5" x14ac:dyDescent="0.25">
      <c r="A28" s="141" t="s">
        <v>370</v>
      </c>
      <c r="B28" s="142">
        <v>300</v>
      </c>
      <c r="C28" s="142">
        <v>0</v>
      </c>
      <c r="D28" s="142">
        <v>0</v>
      </c>
    </row>
    <row r="29" spans="1:4" ht="58.5" x14ac:dyDescent="0.25">
      <c r="A29" s="141" t="s">
        <v>382</v>
      </c>
      <c r="B29" s="142">
        <v>2840</v>
      </c>
      <c r="C29" s="142">
        <v>0</v>
      </c>
      <c r="D29" s="142">
        <v>0</v>
      </c>
    </row>
    <row r="30" spans="1:4" ht="78" x14ac:dyDescent="0.25">
      <c r="A30" s="141" t="s">
        <v>365</v>
      </c>
      <c r="B30" s="142">
        <f>4192.4-2840</f>
        <v>1352.3999999999996</v>
      </c>
      <c r="C30" s="142">
        <v>0</v>
      </c>
      <c r="D30" s="142">
        <v>0</v>
      </c>
    </row>
    <row r="31" spans="1:4" ht="39" x14ac:dyDescent="0.25">
      <c r="A31" s="141" t="s">
        <v>385</v>
      </c>
      <c r="B31" s="142">
        <v>3272.2</v>
      </c>
      <c r="C31" s="142">
        <v>0</v>
      </c>
      <c r="D31" s="142">
        <v>0</v>
      </c>
    </row>
    <row r="32" spans="1:4" ht="69.75" customHeight="1" x14ac:dyDescent="0.25">
      <c r="A32" s="141" t="s">
        <v>386</v>
      </c>
      <c r="B32" s="142">
        <v>1001.8</v>
      </c>
      <c r="C32" s="142">
        <v>0</v>
      </c>
      <c r="D32" s="142">
        <v>0</v>
      </c>
    </row>
    <row r="33" spans="1:8" x14ac:dyDescent="0.25">
      <c r="A33" s="141"/>
      <c r="B33" s="142"/>
      <c r="C33" s="142"/>
      <c r="D33" s="142"/>
    </row>
    <row r="34" spans="1:8" s="133" customFormat="1" ht="45" customHeight="1" x14ac:dyDescent="0.25">
      <c r="A34" s="219" t="s">
        <v>351</v>
      </c>
      <c r="B34" s="220"/>
      <c r="C34" s="220"/>
      <c r="D34" s="221"/>
    </row>
    <row r="35" spans="1:8" s="133" customFormat="1" ht="47.25" customHeight="1" x14ac:dyDescent="0.25">
      <c r="A35" s="148" t="s">
        <v>351</v>
      </c>
      <c r="B35" s="147">
        <f>SUM(B37:B41)</f>
        <v>56669.3</v>
      </c>
      <c r="C35" s="147">
        <f>SUM(C37:C41)</f>
        <v>0</v>
      </c>
      <c r="D35" s="147">
        <f>SUM(D37:D41)</f>
        <v>0</v>
      </c>
    </row>
    <row r="36" spans="1:8" s="130" customFormat="1" ht="20.25" x14ac:dyDescent="0.25">
      <c r="A36" s="134" t="s">
        <v>349</v>
      </c>
      <c r="B36" s="135"/>
      <c r="C36" s="136"/>
      <c r="D36" s="136"/>
    </row>
    <row r="37" spans="1:8" ht="117" x14ac:dyDescent="0.25">
      <c r="A37" s="141" t="s">
        <v>381</v>
      </c>
      <c r="B37" s="142">
        <v>3760.8</v>
      </c>
      <c r="C37" s="142">
        <v>0</v>
      </c>
      <c r="D37" s="142">
        <v>0</v>
      </c>
    </row>
    <row r="38" spans="1:8" ht="52.5" customHeight="1" x14ac:dyDescent="0.25">
      <c r="A38" s="141" t="s">
        <v>376</v>
      </c>
      <c r="B38" s="142">
        <v>6131.3</v>
      </c>
      <c r="C38" s="142">
        <v>0</v>
      </c>
      <c r="D38" s="142">
        <v>0</v>
      </c>
    </row>
    <row r="39" spans="1:8" ht="52.5" customHeight="1" x14ac:dyDescent="0.25">
      <c r="A39" s="141" t="s">
        <v>384</v>
      </c>
      <c r="B39" s="142">
        <v>1600</v>
      </c>
      <c r="C39" s="142">
        <v>0</v>
      </c>
      <c r="D39" s="142">
        <v>0</v>
      </c>
    </row>
    <row r="40" spans="1:8" ht="53.25" customHeight="1" x14ac:dyDescent="0.25">
      <c r="A40" s="141" t="s">
        <v>377</v>
      </c>
      <c r="B40" s="142">
        <f>42071.1+4642.3-1600+63.8</f>
        <v>45177.200000000004</v>
      </c>
      <c r="C40" s="142">
        <v>0</v>
      </c>
      <c r="D40" s="142">
        <v>0</v>
      </c>
    </row>
    <row r="41" spans="1:8" x14ac:dyDescent="0.25">
      <c r="A41" s="141"/>
      <c r="B41" s="142"/>
      <c r="C41" s="142"/>
      <c r="D41" s="142"/>
    </row>
    <row r="42" spans="1:8" s="133" customFormat="1" ht="57.75" customHeight="1" x14ac:dyDescent="0.25">
      <c r="A42" s="219" t="s">
        <v>352</v>
      </c>
      <c r="B42" s="220"/>
      <c r="C42" s="220"/>
      <c r="D42" s="221"/>
    </row>
    <row r="43" spans="1:8" s="133" customFormat="1" ht="48" customHeight="1" x14ac:dyDescent="0.25">
      <c r="A43" s="148" t="s">
        <v>352</v>
      </c>
      <c r="B43" s="147">
        <f>SUM(B45:B49)</f>
        <v>-6330.7000000000007</v>
      </c>
      <c r="C43" s="147">
        <f>SUM(C45:C49)</f>
        <v>0</v>
      </c>
      <c r="D43" s="147">
        <f>SUM(D45:D49)</f>
        <v>0</v>
      </c>
    </row>
    <row r="44" spans="1:8" s="130" customFormat="1" ht="20.25" x14ac:dyDescent="0.25">
      <c r="A44" s="134" t="s">
        <v>349</v>
      </c>
      <c r="B44" s="135"/>
      <c r="C44" s="136"/>
      <c r="D44" s="136"/>
    </row>
    <row r="45" spans="1:8" ht="58.5" x14ac:dyDescent="0.25">
      <c r="A45" s="141" t="s">
        <v>366</v>
      </c>
      <c r="B45" s="142">
        <v>-276.39999999999998</v>
      </c>
      <c r="C45" s="142">
        <v>0</v>
      </c>
      <c r="D45" s="142">
        <v>0</v>
      </c>
    </row>
    <row r="46" spans="1:8" ht="58.5" x14ac:dyDescent="0.25">
      <c r="A46" s="141" t="s">
        <v>371</v>
      </c>
      <c r="B46" s="142">
        <v>-696.1</v>
      </c>
      <c r="C46" s="142">
        <v>0</v>
      </c>
      <c r="D46" s="142">
        <v>0</v>
      </c>
      <c r="G46" s="146"/>
      <c r="H46" s="146"/>
    </row>
    <row r="47" spans="1:8" ht="39" x14ac:dyDescent="0.25">
      <c r="A47" s="141" t="s">
        <v>372</v>
      </c>
      <c r="B47" s="142">
        <f>-652.1-63.8</f>
        <v>-715.9</v>
      </c>
      <c r="C47" s="142">
        <v>0</v>
      </c>
      <c r="D47" s="142">
        <v>0</v>
      </c>
    </row>
    <row r="48" spans="1:8" ht="39" x14ac:dyDescent="0.25">
      <c r="A48" s="141" t="s">
        <v>378</v>
      </c>
      <c r="B48" s="142">
        <v>-4642.3</v>
      </c>
      <c r="C48" s="142">
        <v>0</v>
      </c>
      <c r="D48" s="142">
        <v>0</v>
      </c>
    </row>
    <row r="49" spans="1:4" x14ac:dyDescent="0.25">
      <c r="A49" s="141"/>
      <c r="B49" s="142"/>
      <c r="C49" s="142"/>
      <c r="D49" s="142"/>
    </row>
    <row r="50" spans="1:4" s="133" customFormat="1" ht="45" customHeight="1" x14ac:dyDescent="0.25">
      <c r="A50" s="131" t="s">
        <v>353</v>
      </c>
      <c r="B50" s="149">
        <f>B7+B14-B19-B35-B43</f>
        <v>0</v>
      </c>
      <c r="C50" s="149">
        <f>C7+C14-C19-C35-C43</f>
        <v>0</v>
      </c>
      <c r="D50" s="149">
        <f>D7+D14-D19-D35-D43</f>
        <v>0</v>
      </c>
    </row>
    <row r="54" spans="1:4" s="130" customFormat="1" ht="52.5" customHeight="1" x14ac:dyDescent="0.25">
      <c r="A54" s="145" t="s">
        <v>5</v>
      </c>
      <c r="B54" s="222" t="s">
        <v>6</v>
      </c>
      <c r="C54" s="222"/>
      <c r="D54" s="222"/>
    </row>
  </sheetData>
  <mergeCells count="9">
    <mergeCell ref="A34:D34"/>
    <mergeCell ref="A42:D42"/>
    <mergeCell ref="B54:D54"/>
    <mergeCell ref="A1:D1"/>
    <mergeCell ref="A3:D3"/>
    <mergeCell ref="A4:D4"/>
    <mergeCell ref="A6:D6"/>
    <mergeCell ref="A13:D13"/>
    <mergeCell ref="A18:D18"/>
  </mergeCells>
  <printOptions horizontalCentered="1"/>
  <pageMargins left="0" right="0" top="0" bottom="0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60" zoomScaleNormal="100" workbookViewId="0">
      <selection activeCell="N6" sqref="N6"/>
    </sheetView>
  </sheetViews>
  <sheetFormatPr defaultRowHeight="19.5" x14ac:dyDescent="0.25"/>
  <cols>
    <col min="1" max="1" width="55.140625" style="5" customWidth="1"/>
    <col min="2" max="2" width="21.7109375" style="15" hidden="1" customWidth="1"/>
    <col min="3" max="5" width="21.7109375" style="15" customWidth="1"/>
    <col min="6" max="6" width="9.140625" style="5" customWidth="1"/>
    <col min="7" max="7" width="21.7109375" style="15" hidden="1" customWidth="1"/>
    <col min="8" max="10" width="21.7109375" style="15" customWidth="1"/>
    <col min="11" max="11" width="9.140625" style="5" customWidth="1"/>
    <col min="12" max="12" width="21.7109375" style="15" hidden="1" customWidth="1"/>
    <col min="13" max="15" width="21.7109375" style="15" customWidth="1"/>
    <col min="16" max="16384" width="9.140625" style="5"/>
  </cols>
  <sheetData>
    <row r="1" spans="1:15" s="19" customFormat="1" x14ac:dyDescent="0.25">
      <c r="A1" s="192" t="s">
        <v>63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5" s="16" customFormat="1" ht="87" customHeight="1" x14ac:dyDescent="0.25">
      <c r="A2" s="197" t="s">
        <v>321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</row>
    <row r="3" spans="1:15" s="20" customFormat="1" ht="17.25" customHeight="1" x14ac:dyDescent="0.25">
      <c r="B3" s="32"/>
      <c r="C3" s="121"/>
      <c r="D3" s="75"/>
      <c r="E3" s="75"/>
      <c r="F3" s="75"/>
      <c r="G3" s="32"/>
      <c r="H3" s="121"/>
      <c r="I3" s="75"/>
      <c r="J3" s="75"/>
      <c r="K3" s="75"/>
      <c r="L3" s="75"/>
      <c r="M3" s="121"/>
      <c r="N3" s="75"/>
      <c r="O3" s="75"/>
    </row>
    <row r="4" spans="1:15" s="16" customFormat="1" x14ac:dyDescent="0.25">
      <c r="A4" s="198" t="s">
        <v>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s="3" customFormat="1" ht="149.25" customHeight="1" x14ac:dyDescent="0.25">
      <c r="A5" s="33" t="s">
        <v>1</v>
      </c>
      <c r="B5" s="51" t="s">
        <v>315</v>
      </c>
      <c r="C5" s="51" t="s">
        <v>340</v>
      </c>
      <c r="D5" s="51" t="s">
        <v>316</v>
      </c>
      <c r="E5" s="51" t="s">
        <v>196</v>
      </c>
      <c r="G5" s="51" t="s">
        <v>317</v>
      </c>
      <c r="H5" s="51" t="s">
        <v>341</v>
      </c>
      <c r="I5" s="51" t="s">
        <v>318</v>
      </c>
      <c r="J5" s="51" t="s">
        <v>196</v>
      </c>
      <c r="L5" s="51" t="s">
        <v>319</v>
      </c>
      <c r="M5" s="51" t="s">
        <v>343</v>
      </c>
      <c r="N5" s="51" t="s">
        <v>320</v>
      </c>
      <c r="O5" s="51" t="s">
        <v>196</v>
      </c>
    </row>
    <row r="6" spans="1:15" ht="45" customHeight="1" x14ac:dyDescent="0.25">
      <c r="A6" s="6" t="s">
        <v>41</v>
      </c>
      <c r="B6" s="7">
        <v>111726.9</v>
      </c>
      <c r="C6" s="7">
        <v>191085.7</v>
      </c>
      <c r="D6" s="7">
        <v>191085.7</v>
      </c>
      <c r="E6" s="77">
        <f>D6-C6</f>
        <v>0</v>
      </c>
      <c r="G6" s="7">
        <v>86743</v>
      </c>
      <c r="H6" s="7">
        <v>126079.9</v>
      </c>
      <c r="I6" s="7">
        <v>126079.9</v>
      </c>
      <c r="J6" s="77">
        <f>I6-H6</f>
        <v>0</v>
      </c>
      <c r="L6" s="7">
        <v>86743</v>
      </c>
      <c r="M6" s="7">
        <v>97519.8</v>
      </c>
      <c r="N6" s="7">
        <v>97519.8</v>
      </c>
      <c r="O6" s="77">
        <f>N6-M6</f>
        <v>0</v>
      </c>
    </row>
    <row r="7" spans="1:15" ht="45" hidden="1" customHeight="1" x14ac:dyDescent="0.25">
      <c r="A7" s="6" t="s">
        <v>72</v>
      </c>
      <c r="B7" s="7"/>
      <c r="C7" s="7"/>
      <c r="D7" s="7"/>
      <c r="E7" s="77">
        <f t="shared" ref="E7:E18" si="0">D7-B7</f>
        <v>0</v>
      </c>
      <c r="G7" s="7"/>
      <c r="H7" s="7"/>
      <c r="I7" s="7"/>
      <c r="J7" s="77">
        <f t="shared" ref="J7:J18" si="1">I7-G7</f>
        <v>0</v>
      </c>
      <c r="L7" s="7"/>
      <c r="M7" s="7"/>
      <c r="N7" s="7"/>
      <c r="O7" s="77">
        <f t="shared" ref="O7:O18" si="2">N7-L7</f>
        <v>0</v>
      </c>
    </row>
    <row r="8" spans="1:15" ht="45" hidden="1" customHeight="1" x14ac:dyDescent="0.25">
      <c r="A8" s="6" t="s">
        <v>73</v>
      </c>
      <c r="B8" s="7"/>
      <c r="C8" s="7"/>
      <c r="D8" s="7"/>
      <c r="E8" s="77">
        <f t="shared" si="0"/>
        <v>0</v>
      </c>
      <c r="G8" s="7"/>
      <c r="H8" s="7"/>
      <c r="I8" s="7"/>
      <c r="J8" s="77">
        <f t="shared" si="1"/>
        <v>0</v>
      </c>
      <c r="L8" s="7"/>
      <c r="M8" s="7"/>
      <c r="N8" s="7"/>
      <c r="O8" s="77">
        <f t="shared" si="2"/>
        <v>0</v>
      </c>
    </row>
    <row r="9" spans="1:15" ht="45" hidden="1" customHeight="1" x14ac:dyDescent="0.25">
      <c r="A9" s="6" t="s">
        <v>74</v>
      </c>
      <c r="B9" s="7"/>
      <c r="C9" s="7"/>
      <c r="D9" s="7"/>
      <c r="E9" s="77">
        <f t="shared" si="0"/>
        <v>0</v>
      </c>
      <c r="G9" s="7"/>
      <c r="H9" s="7"/>
      <c r="I9" s="7"/>
      <c r="J9" s="77">
        <f t="shared" si="1"/>
        <v>0</v>
      </c>
      <c r="L9" s="7"/>
      <c r="M9" s="7"/>
      <c r="N9" s="7"/>
      <c r="O9" s="77">
        <f t="shared" si="2"/>
        <v>0</v>
      </c>
    </row>
    <row r="10" spans="1:15" ht="45" hidden="1" customHeight="1" x14ac:dyDescent="0.25">
      <c r="A10" s="6" t="s">
        <v>75</v>
      </c>
      <c r="B10" s="7"/>
      <c r="C10" s="7"/>
      <c r="D10" s="7"/>
      <c r="E10" s="77">
        <f t="shared" si="0"/>
        <v>0</v>
      </c>
      <c r="G10" s="7"/>
      <c r="H10" s="7"/>
      <c r="I10" s="7"/>
      <c r="J10" s="77">
        <f t="shared" si="1"/>
        <v>0</v>
      </c>
      <c r="L10" s="7"/>
      <c r="M10" s="7"/>
      <c r="N10" s="7"/>
      <c r="O10" s="77">
        <f t="shared" si="2"/>
        <v>0</v>
      </c>
    </row>
    <row r="11" spans="1:15" ht="45" hidden="1" customHeight="1" x14ac:dyDescent="0.25">
      <c r="A11" s="6" t="s">
        <v>76</v>
      </c>
      <c r="B11" s="7"/>
      <c r="C11" s="7"/>
      <c r="D11" s="7"/>
      <c r="E11" s="77">
        <f t="shared" si="0"/>
        <v>0</v>
      </c>
      <c r="G11" s="7"/>
      <c r="H11" s="7"/>
      <c r="I11" s="7"/>
      <c r="J11" s="77">
        <f t="shared" si="1"/>
        <v>0</v>
      </c>
      <c r="L11" s="7"/>
      <c r="M11" s="7"/>
      <c r="N11" s="7"/>
      <c r="O11" s="77">
        <f t="shared" si="2"/>
        <v>0</v>
      </c>
    </row>
    <row r="12" spans="1:15" ht="45" hidden="1" customHeight="1" x14ac:dyDescent="0.25">
      <c r="A12" s="6" t="s">
        <v>77</v>
      </c>
      <c r="B12" s="7"/>
      <c r="C12" s="7"/>
      <c r="D12" s="7"/>
      <c r="E12" s="77">
        <f t="shared" si="0"/>
        <v>0</v>
      </c>
      <c r="G12" s="7"/>
      <c r="H12" s="7"/>
      <c r="I12" s="7"/>
      <c r="J12" s="77">
        <f t="shared" si="1"/>
        <v>0</v>
      </c>
      <c r="L12" s="7"/>
      <c r="M12" s="7"/>
      <c r="N12" s="7"/>
      <c r="O12" s="77">
        <f t="shared" si="2"/>
        <v>0</v>
      </c>
    </row>
    <row r="13" spans="1:15" ht="45" hidden="1" customHeight="1" x14ac:dyDescent="0.25">
      <c r="A13" s="6" t="s">
        <v>78</v>
      </c>
      <c r="B13" s="7"/>
      <c r="C13" s="7"/>
      <c r="D13" s="7"/>
      <c r="E13" s="77">
        <f t="shared" si="0"/>
        <v>0</v>
      </c>
      <c r="G13" s="7"/>
      <c r="H13" s="7"/>
      <c r="I13" s="7"/>
      <c r="J13" s="77">
        <f t="shared" si="1"/>
        <v>0</v>
      </c>
      <c r="L13" s="7"/>
      <c r="M13" s="7"/>
      <c r="N13" s="7"/>
      <c r="O13" s="77">
        <f t="shared" si="2"/>
        <v>0</v>
      </c>
    </row>
    <row r="14" spans="1:15" ht="45" hidden="1" customHeight="1" x14ac:dyDescent="0.25">
      <c r="A14" s="6" t="s">
        <v>79</v>
      </c>
      <c r="B14" s="7"/>
      <c r="C14" s="7"/>
      <c r="D14" s="7"/>
      <c r="E14" s="77">
        <f t="shared" si="0"/>
        <v>0</v>
      </c>
      <c r="G14" s="7"/>
      <c r="H14" s="7"/>
      <c r="I14" s="7"/>
      <c r="J14" s="77">
        <f t="shared" si="1"/>
        <v>0</v>
      </c>
      <c r="L14" s="7"/>
      <c r="M14" s="7"/>
      <c r="N14" s="7"/>
      <c r="O14" s="77">
        <f t="shared" si="2"/>
        <v>0</v>
      </c>
    </row>
    <row r="15" spans="1:15" ht="45" hidden="1" customHeight="1" x14ac:dyDescent="0.25">
      <c r="A15" s="6" t="s">
        <v>80</v>
      </c>
      <c r="B15" s="7"/>
      <c r="C15" s="7"/>
      <c r="D15" s="7"/>
      <c r="E15" s="77">
        <f t="shared" si="0"/>
        <v>0</v>
      </c>
      <c r="G15" s="7"/>
      <c r="H15" s="7"/>
      <c r="I15" s="7"/>
      <c r="J15" s="77">
        <f t="shared" si="1"/>
        <v>0</v>
      </c>
      <c r="L15" s="7"/>
      <c r="M15" s="7"/>
      <c r="N15" s="7"/>
      <c r="O15" s="77">
        <f t="shared" si="2"/>
        <v>0</v>
      </c>
    </row>
    <row r="16" spans="1:15" ht="45" hidden="1" customHeight="1" x14ac:dyDescent="0.25">
      <c r="A16" s="6" t="s">
        <v>81</v>
      </c>
      <c r="B16" s="7"/>
      <c r="C16" s="7"/>
      <c r="D16" s="7"/>
      <c r="E16" s="77">
        <f t="shared" si="0"/>
        <v>0</v>
      </c>
      <c r="G16" s="7"/>
      <c r="H16" s="7"/>
      <c r="I16" s="7"/>
      <c r="J16" s="77">
        <f t="shared" si="1"/>
        <v>0</v>
      </c>
      <c r="L16" s="7"/>
      <c r="M16" s="7"/>
      <c r="N16" s="7"/>
      <c r="O16" s="77">
        <f t="shared" si="2"/>
        <v>0</v>
      </c>
    </row>
    <row r="17" spans="1:15" ht="45" hidden="1" customHeight="1" x14ac:dyDescent="0.25">
      <c r="A17" s="6" t="s">
        <v>82</v>
      </c>
      <c r="B17" s="7"/>
      <c r="C17" s="7"/>
      <c r="D17" s="7"/>
      <c r="E17" s="77">
        <f t="shared" si="0"/>
        <v>0</v>
      </c>
      <c r="G17" s="7"/>
      <c r="H17" s="7"/>
      <c r="I17" s="7"/>
      <c r="J17" s="77">
        <f t="shared" si="1"/>
        <v>0</v>
      </c>
      <c r="L17" s="7"/>
      <c r="M17" s="7"/>
      <c r="N17" s="7"/>
      <c r="O17" s="77">
        <f t="shared" si="2"/>
        <v>0</v>
      </c>
    </row>
    <row r="18" spans="1:15" ht="45" hidden="1" customHeight="1" x14ac:dyDescent="0.25">
      <c r="A18" s="6" t="s">
        <v>83</v>
      </c>
      <c r="B18" s="7"/>
      <c r="C18" s="7"/>
      <c r="D18" s="7"/>
      <c r="E18" s="77">
        <f t="shared" si="0"/>
        <v>0</v>
      </c>
      <c r="G18" s="7"/>
      <c r="H18" s="7"/>
      <c r="I18" s="7"/>
      <c r="J18" s="77">
        <f t="shared" si="1"/>
        <v>0</v>
      </c>
      <c r="L18" s="7"/>
      <c r="M18" s="7"/>
      <c r="N18" s="7"/>
      <c r="O18" s="77">
        <f t="shared" si="2"/>
        <v>0</v>
      </c>
    </row>
    <row r="19" spans="1:15" s="3" customFormat="1" ht="45" customHeight="1" x14ac:dyDescent="0.25">
      <c r="A19" s="33" t="s">
        <v>4</v>
      </c>
      <c r="B19" s="4">
        <f>SUM(B6:B18)</f>
        <v>111726.9</v>
      </c>
      <c r="C19" s="4">
        <f>SUM(C6:C18)</f>
        <v>191085.7</v>
      </c>
      <c r="D19" s="4">
        <f>SUM(D6:D18)</f>
        <v>191085.7</v>
      </c>
      <c r="E19" s="78">
        <f>SUM(E6:E18)</f>
        <v>0</v>
      </c>
      <c r="G19" s="4">
        <f>SUM(G6:G18)</f>
        <v>86743</v>
      </c>
      <c r="H19" s="4">
        <f>SUM(H6:H18)</f>
        <v>126079.9</v>
      </c>
      <c r="I19" s="4">
        <f>SUM(I6:I18)</f>
        <v>126079.9</v>
      </c>
      <c r="J19" s="78">
        <f>SUM(J6:J18)</f>
        <v>0</v>
      </c>
      <c r="L19" s="4">
        <f t="shared" ref="L19" si="3">SUM(L6:L18)</f>
        <v>86743</v>
      </c>
      <c r="M19" s="4">
        <f t="shared" ref="M19:N19" si="4">SUM(M6:M18)</f>
        <v>97519.8</v>
      </c>
      <c r="N19" s="4">
        <f t="shared" si="4"/>
        <v>97519.8</v>
      </c>
      <c r="O19" s="78">
        <f>SUM(O6:O18)</f>
        <v>0</v>
      </c>
    </row>
    <row r="22" spans="1:15" s="3" customFormat="1" ht="51.75" customHeight="1" x14ac:dyDescent="0.25">
      <c r="A22" s="14" t="s">
        <v>5</v>
      </c>
      <c r="B22" s="34"/>
      <c r="C22" s="34"/>
      <c r="D22" s="34"/>
      <c r="E22" s="34"/>
      <c r="G22" s="199" t="s">
        <v>6</v>
      </c>
      <c r="H22" s="199"/>
      <c r="I22" s="199"/>
      <c r="J22" s="199"/>
      <c r="K22" s="199"/>
      <c r="L22" s="199"/>
      <c r="M22" s="199"/>
      <c r="N22" s="199"/>
      <c r="O22" s="199"/>
    </row>
    <row r="29" spans="1:15" hidden="1" x14ac:dyDescent="0.25">
      <c r="A29" s="5" t="s">
        <v>1</v>
      </c>
      <c r="B29" s="15" t="s">
        <v>202</v>
      </c>
    </row>
    <row r="30" spans="1:15" hidden="1" x14ac:dyDescent="0.25">
      <c r="A30" s="5" t="s">
        <v>201</v>
      </c>
      <c r="B30" s="15" t="s">
        <v>203</v>
      </c>
      <c r="C30" s="15" t="s">
        <v>204</v>
      </c>
      <c r="D30" s="15" t="s">
        <v>204</v>
      </c>
      <c r="E30" s="15" t="s">
        <v>205</v>
      </c>
    </row>
    <row r="31" spans="1:15" hidden="1" x14ac:dyDescent="0.25">
      <c r="A31" s="5" t="s">
        <v>41</v>
      </c>
      <c r="B31" s="15">
        <v>177107.1</v>
      </c>
      <c r="C31" s="15">
        <v>111726.9</v>
      </c>
      <c r="D31" s="15">
        <v>111726.9</v>
      </c>
      <c r="E31" s="15">
        <v>86743</v>
      </c>
      <c r="F31" s="42"/>
      <c r="G31" s="15">
        <f>D6-B31</f>
        <v>13978.600000000006</v>
      </c>
      <c r="H31" s="15">
        <f>C31-H6</f>
        <v>-14353</v>
      </c>
      <c r="I31" s="15">
        <f>D31-I6</f>
        <v>-14353</v>
      </c>
      <c r="J31" s="15">
        <f>E31-N6</f>
        <v>-10776.800000000003</v>
      </c>
    </row>
    <row r="32" spans="1:15" hidden="1" x14ac:dyDescent="0.25">
      <c r="A32" s="5" t="s">
        <v>207</v>
      </c>
      <c r="B32" s="15">
        <v>10392.799999999999</v>
      </c>
      <c r="C32" s="15">
        <v>7841.6</v>
      </c>
      <c r="D32" s="15">
        <v>7841.6</v>
      </c>
      <c r="E32" s="42">
        <v>7057.4</v>
      </c>
      <c r="F32" s="15"/>
      <c r="G32" s="15">
        <f t="shared" ref="G32:G43" si="5">D7-B32</f>
        <v>-10392.799999999999</v>
      </c>
      <c r="H32" s="15">
        <f t="shared" ref="H32:I43" si="6">C32-H7</f>
        <v>7841.6</v>
      </c>
      <c r="I32" s="15">
        <f t="shared" si="6"/>
        <v>7841.6</v>
      </c>
      <c r="J32" s="15">
        <f t="shared" ref="J32:J43" si="7">E32-N7</f>
        <v>7057.4</v>
      </c>
      <c r="K32" s="15"/>
      <c r="O32" s="5"/>
    </row>
    <row r="33" spans="1:15" hidden="1" x14ac:dyDescent="0.25">
      <c r="A33" s="5" t="s">
        <v>208</v>
      </c>
      <c r="B33" s="15">
        <v>9095.7000000000007</v>
      </c>
      <c r="C33" s="15">
        <v>6728.2</v>
      </c>
      <c r="D33" s="15">
        <v>6728.2</v>
      </c>
      <c r="E33" s="42">
        <v>6055.4</v>
      </c>
      <c r="F33" s="15"/>
      <c r="G33" s="15">
        <f t="shared" si="5"/>
        <v>-9095.7000000000007</v>
      </c>
      <c r="H33" s="15">
        <f t="shared" si="6"/>
        <v>6728.2</v>
      </c>
      <c r="I33" s="15">
        <f t="shared" si="6"/>
        <v>6728.2</v>
      </c>
      <c r="J33" s="15">
        <f t="shared" si="7"/>
        <v>6055.4</v>
      </c>
      <c r="K33" s="15"/>
      <c r="O33" s="5"/>
    </row>
    <row r="34" spans="1:15" hidden="1" x14ac:dyDescent="0.25">
      <c r="A34" s="5" t="s">
        <v>209</v>
      </c>
      <c r="B34" s="15">
        <v>19670.099999999999</v>
      </c>
      <c r="C34" s="15">
        <v>15040.8</v>
      </c>
      <c r="D34" s="15">
        <v>15040.8</v>
      </c>
      <c r="E34" s="42">
        <v>13536.7</v>
      </c>
      <c r="F34" s="15"/>
      <c r="G34" s="15">
        <f t="shared" si="5"/>
        <v>-19670.099999999999</v>
      </c>
      <c r="H34" s="15">
        <f t="shared" si="6"/>
        <v>15040.8</v>
      </c>
      <c r="I34" s="15">
        <f t="shared" si="6"/>
        <v>15040.8</v>
      </c>
      <c r="J34" s="15">
        <f t="shared" si="7"/>
        <v>13536.7</v>
      </c>
      <c r="K34" s="15"/>
      <c r="O34" s="5"/>
    </row>
    <row r="35" spans="1:15" ht="39" hidden="1" x14ac:dyDescent="0.25">
      <c r="A35" s="5" t="s">
        <v>206</v>
      </c>
      <c r="B35" s="15">
        <v>1476.9</v>
      </c>
      <c r="C35" s="15">
        <v>250.6</v>
      </c>
      <c r="D35" s="15">
        <v>250.6</v>
      </c>
      <c r="E35" s="15">
        <v>225.5</v>
      </c>
      <c r="G35" s="15">
        <f t="shared" si="5"/>
        <v>-1476.9</v>
      </c>
      <c r="H35" s="15">
        <f t="shared" si="6"/>
        <v>250.6</v>
      </c>
      <c r="I35" s="15">
        <f t="shared" si="6"/>
        <v>250.6</v>
      </c>
      <c r="J35" s="15">
        <f t="shared" si="7"/>
        <v>225.5</v>
      </c>
    </row>
    <row r="36" spans="1:15" hidden="1" x14ac:dyDescent="0.25">
      <c r="A36" s="5" t="s">
        <v>210</v>
      </c>
      <c r="B36" s="15">
        <v>12967.9</v>
      </c>
      <c r="C36" s="15">
        <v>9882.7999999999993</v>
      </c>
      <c r="D36" s="15">
        <v>9882.7999999999993</v>
      </c>
      <c r="E36" s="42">
        <v>8894.5</v>
      </c>
      <c r="F36" s="15"/>
      <c r="G36" s="15">
        <f t="shared" si="5"/>
        <v>-12967.9</v>
      </c>
      <c r="H36" s="15">
        <f t="shared" si="6"/>
        <v>9882.7999999999993</v>
      </c>
      <c r="I36" s="15">
        <f t="shared" si="6"/>
        <v>9882.7999999999993</v>
      </c>
      <c r="J36" s="15">
        <f t="shared" si="7"/>
        <v>8894.5</v>
      </c>
      <c r="K36" s="15"/>
      <c r="O36" s="5"/>
    </row>
    <row r="37" spans="1:15" hidden="1" x14ac:dyDescent="0.25">
      <c r="A37" s="5" t="s">
        <v>211</v>
      </c>
      <c r="B37" s="15">
        <v>14901.6</v>
      </c>
      <c r="C37" s="15">
        <v>11326</v>
      </c>
      <c r="D37" s="15">
        <v>11326</v>
      </c>
      <c r="E37" s="42">
        <v>10193.4</v>
      </c>
      <c r="F37" s="15"/>
      <c r="G37" s="15">
        <f t="shared" si="5"/>
        <v>-14901.6</v>
      </c>
      <c r="H37" s="15">
        <f t="shared" si="6"/>
        <v>11326</v>
      </c>
      <c r="I37" s="15">
        <f t="shared" si="6"/>
        <v>11326</v>
      </c>
      <c r="J37" s="15">
        <f t="shared" si="7"/>
        <v>10193.4</v>
      </c>
      <c r="K37" s="15"/>
      <c r="O37" s="5"/>
    </row>
    <row r="38" spans="1:15" hidden="1" x14ac:dyDescent="0.25">
      <c r="A38" s="5" t="s">
        <v>212</v>
      </c>
      <c r="B38" s="15">
        <v>10775.4</v>
      </c>
      <c r="C38" s="15">
        <v>7988.5</v>
      </c>
      <c r="D38" s="15">
        <v>7988.5</v>
      </c>
      <c r="E38" s="15">
        <v>7189.7</v>
      </c>
      <c r="G38" s="15">
        <f t="shared" si="5"/>
        <v>-10775.4</v>
      </c>
      <c r="H38" s="15">
        <f t="shared" si="6"/>
        <v>7988.5</v>
      </c>
      <c r="I38" s="15">
        <f t="shared" si="6"/>
        <v>7988.5</v>
      </c>
      <c r="J38" s="15">
        <f t="shared" si="7"/>
        <v>7189.7</v>
      </c>
    </row>
    <row r="39" spans="1:15" hidden="1" x14ac:dyDescent="0.25">
      <c r="A39" s="5" t="s">
        <v>213</v>
      </c>
      <c r="B39" s="15">
        <v>8234.5</v>
      </c>
      <c r="C39" s="15">
        <v>7466.6</v>
      </c>
      <c r="D39" s="15">
        <v>7466.6</v>
      </c>
      <c r="E39" s="15">
        <v>6719.9</v>
      </c>
      <c r="G39" s="15">
        <f t="shared" si="5"/>
        <v>-8234.5</v>
      </c>
      <c r="H39" s="15">
        <f t="shared" si="6"/>
        <v>7466.6</v>
      </c>
      <c r="I39" s="15">
        <f t="shared" si="6"/>
        <v>7466.6</v>
      </c>
      <c r="J39" s="15">
        <f t="shared" si="7"/>
        <v>6719.9</v>
      </c>
    </row>
    <row r="40" spans="1:15" hidden="1" x14ac:dyDescent="0.25">
      <c r="A40" s="5" t="s">
        <v>214</v>
      </c>
      <c r="B40" s="15">
        <v>13088.4</v>
      </c>
      <c r="C40" s="15">
        <v>9844.1</v>
      </c>
      <c r="D40" s="15">
        <v>9844.1</v>
      </c>
      <c r="E40" s="15">
        <v>8859.7000000000007</v>
      </c>
      <c r="G40" s="15">
        <f t="shared" si="5"/>
        <v>-13088.4</v>
      </c>
      <c r="H40" s="15">
        <f t="shared" si="6"/>
        <v>9844.1</v>
      </c>
      <c r="I40" s="15">
        <f t="shared" si="6"/>
        <v>9844.1</v>
      </c>
      <c r="J40" s="15">
        <f t="shared" si="7"/>
        <v>8859.7000000000007</v>
      </c>
    </row>
    <row r="41" spans="1:15" hidden="1" x14ac:dyDescent="0.25">
      <c r="A41" s="5" t="s">
        <v>215</v>
      </c>
      <c r="B41" s="15">
        <v>15621.9</v>
      </c>
      <c r="C41" s="15">
        <v>13619.4</v>
      </c>
      <c r="D41" s="15">
        <v>13619.4</v>
      </c>
      <c r="E41" s="15">
        <v>14234.6</v>
      </c>
      <c r="G41" s="15">
        <f t="shared" si="5"/>
        <v>-15621.9</v>
      </c>
      <c r="H41" s="15">
        <f t="shared" si="6"/>
        <v>13619.4</v>
      </c>
      <c r="I41" s="15">
        <f t="shared" si="6"/>
        <v>13619.4</v>
      </c>
      <c r="J41" s="15">
        <f t="shared" si="7"/>
        <v>14234.6</v>
      </c>
    </row>
    <row r="42" spans="1:15" hidden="1" x14ac:dyDescent="0.25">
      <c r="A42" s="5" t="s">
        <v>216</v>
      </c>
      <c r="B42" s="15">
        <v>7348</v>
      </c>
      <c r="C42" s="15">
        <v>5343.3</v>
      </c>
      <c r="D42" s="15">
        <v>5343.3</v>
      </c>
      <c r="E42" s="15">
        <v>4809</v>
      </c>
      <c r="G42" s="15">
        <f t="shared" si="5"/>
        <v>-7348</v>
      </c>
      <c r="H42" s="15">
        <f t="shared" si="6"/>
        <v>5343.3</v>
      </c>
      <c r="I42" s="15">
        <f t="shared" si="6"/>
        <v>5343.3</v>
      </c>
      <c r="J42" s="15">
        <f t="shared" si="7"/>
        <v>4809</v>
      </c>
    </row>
    <row r="43" spans="1:15" hidden="1" x14ac:dyDescent="0.25">
      <c r="A43" s="5" t="s">
        <v>217</v>
      </c>
      <c r="B43" s="15">
        <v>25358.2</v>
      </c>
      <c r="C43" s="15">
        <v>19167.8</v>
      </c>
      <c r="D43" s="15">
        <v>19167.8</v>
      </c>
      <c r="E43" s="15">
        <v>17251</v>
      </c>
      <c r="G43" s="15">
        <f t="shared" si="5"/>
        <v>-25358.2</v>
      </c>
      <c r="H43" s="15">
        <f t="shared" si="6"/>
        <v>19167.8</v>
      </c>
      <c r="I43" s="15">
        <f t="shared" si="6"/>
        <v>19167.8</v>
      </c>
      <c r="J43" s="15">
        <f t="shared" si="7"/>
        <v>17251</v>
      </c>
    </row>
    <row r="44" spans="1:15" hidden="1" x14ac:dyDescent="0.25"/>
  </sheetData>
  <autoFilter ref="A5:O19"/>
  <mergeCells count="4">
    <mergeCell ref="A2:O2"/>
    <mergeCell ref="A4:O4"/>
    <mergeCell ref="A1:O1"/>
    <mergeCell ref="G22:O22"/>
  </mergeCells>
  <printOptions horizontalCentered="1"/>
  <pageMargins left="0" right="0" top="0" bottom="0" header="0.31496062992125984" footer="0.31496062992125984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view="pageBreakPreview" zoomScale="60" zoomScaleNormal="100" workbookViewId="0">
      <selection activeCell="O19" sqref="O19"/>
    </sheetView>
  </sheetViews>
  <sheetFormatPr defaultRowHeight="19.5" x14ac:dyDescent="0.25"/>
  <cols>
    <col min="1" max="1" width="55.140625" style="5" customWidth="1"/>
    <col min="2" max="2" width="21.7109375" style="15" hidden="1" customWidth="1"/>
    <col min="3" max="5" width="21.7109375" style="15" customWidth="1"/>
    <col min="6" max="6" width="9.140625" style="5" customWidth="1"/>
    <col min="7" max="7" width="21.7109375" style="15" hidden="1" customWidth="1"/>
    <col min="8" max="10" width="21.7109375" style="15" customWidth="1"/>
    <col min="11" max="11" width="9.140625" style="5" customWidth="1"/>
    <col min="12" max="12" width="21.7109375" style="15" hidden="1" customWidth="1"/>
    <col min="13" max="15" width="21.7109375" style="15" customWidth="1"/>
    <col min="16" max="16384" width="9.140625" style="5"/>
  </cols>
  <sheetData>
    <row r="1" spans="1:15" s="108" customFormat="1" x14ac:dyDescent="0.25">
      <c r="A1" s="192" t="s">
        <v>301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2" spans="1:15" s="109" customFormat="1" ht="87" customHeight="1" x14ac:dyDescent="0.25">
      <c r="A2" s="197" t="s">
        <v>322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</row>
    <row r="3" spans="1:15" s="109" customFormat="1" ht="17.25" customHeight="1" x14ac:dyDescent="0.25">
      <c r="C3" s="121"/>
      <c r="H3" s="121"/>
      <c r="M3" s="121"/>
    </row>
    <row r="4" spans="1:15" s="109" customFormat="1" x14ac:dyDescent="0.25">
      <c r="A4" s="198" t="s">
        <v>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</row>
    <row r="5" spans="1:15" s="110" customFormat="1" ht="152.25" customHeight="1" x14ac:dyDescent="0.25">
      <c r="A5" s="33" t="s">
        <v>1</v>
      </c>
      <c r="B5" s="51" t="s">
        <v>315</v>
      </c>
      <c r="C5" s="51" t="s">
        <v>340</v>
      </c>
      <c r="D5" s="51" t="s">
        <v>316</v>
      </c>
      <c r="E5" s="51" t="s">
        <v>196</v>
      </c>
      <c r="G5" s="51" t="s">
        <v>317</v>
      </c>
      <c r="H5" s="51" t="s">
        <v>344</v>
      </c>
      <c r="I5" s="51" t="s">
        <v>318</v>
      </c>
      <c r="J5" s="51" t="s">
        <v>196</v>
      </c>
      <c r="L5" s="51" t="s">
        <v>319</v>
      </c>
      <c r="M5" s="51" t="s">
        <v>342</v>
      </c>
      <c r="N5" s="51" t="s">
        <v>320</v>
      </c>
      <c r="O5" s="51" t="s">
        <v>196</v>
      </c>
    </row>
    <row r="6" spans="1:15" ht="45" customHeight="1" x14ac:dyDescent="0.25">
      <c r="A6" s="6" t="s">
        <v>41</v>
      </c>
      <c r="B6" s="7">
        <v>0</v>
      </c>
      <c r="C6" s="7">
        <v>5089.8</v>
      </c>
      <c r="D6" s="7">
        <v>5089.8</v>
      </c>
      <c r="E6" s="77">
        <f>D6-C6</f>
        <v>0</v>
      </c>
      <c r="G6" s="7">
        <v>0</v>
      </c>
      <c r="H6" s="7">
        <v>0</v>
      </c>
      <c r="I6" s="7">
        <v>0</v>
      </c>
      <c r="J6" s="77">
        <f>I6-H6</f>
        <v>0</v>
      </c>
      <c r="L6" s="7">
        <v>0</v>
      </c>
      <c r="M6" s="7">
        <v>0</v>
      </c>
      <c r="N6" s="7">
        <v>0</v>
      </c>
      <c r="O6" s="77">
        <f>N6-M6</f>
        <v>0</v>
      </c>
    </row>
    <row r="7" spans="1:15" ht="45" hidden="1" customHeight="1" x14ac:dyDescent="0.25">
      <c r="A7" s="6" t="s">
        <v>72</v>
      </c>
      <c r="B7" s="7"/>
      <c r="C7" s="7"/>
      <c r="D7" s="7"/>
      <c r="E7" s="77">
        <f t="shared" ref="E7:E18" si="0">D7-B7</f>
        <v>0</v>
      </c>
      <c r="G7" s="7"/>
      <c r="H7" s="7"/>
      <c r="I7" s="7"/>
      <c r="J7" s="77">
        <f t="shared" ref="J7:J18" si="1">I7-G7</f>
        <v>0</v>
      </c>
      <c r="L7" s="7"/>
      <c r="M7" s="7"/>
      <c r="N7" s="7"/>
      <c r="O7" s="77">
        <f t="shared" ref="O7:O18" si="2">N7-L7</f>
        <v>0</v>
      </c>
    </row>
    <row r="8" spans="1:15" ht="45" hidden="1" customHeight="1" x14ac:dyDescent="0.25">
      <c r="A8" s="6" t="s">
        <v>73</v>
      </c>
      <c r="B8" s="7"/>
      <c r="C8" s="7"/>
      <c r="D8" s="7"/>
      <c r="E8" s="77">
        <f t="shared" si="0"/>
        <v>0</v>
      </c>
      <c r="G8" s="7"/>
      <c r="H8" s="7"/>
      <c r="I8" s="7"/>
      <c r="J8" s="77">
        <f t="shared" si="1"/>
        <v>0</v>
      </c>
      <c r="L8" s="7"/>
      <c r="M8" s="7"/>
      <c r="N8" s="7"/>
      <c r="O8" s="77">
        <f t="shared" si="2"/>
        <v>0</v>
      </c>
    </row>
    <row r="9" spans="1:15" ht="45" hidden="1" customHeight="1" x14ac:dyDescent="0.25">
      <c r="A9" s="6" t="s">
        <v>74</v>
      </c>
      <c r="B9" s="7"/>
      <c r="C9" s="7"/>
      <c r="D9" s="7"/>
      <c r="E9" s="77">
        <f t="shared" si="0"/>
        <v>0</v>
      </c>
      <c r="G9" s="7"/>
      <c r="H9" s="7"/>
      <c r="I9" s="7"/>
      <c r="J9" s="77">
        <f t="shared" si="1"/>
        <v>0</v>
      </c>
      <c r="L9" s="7"/>
      <c r="M9" s="7"/>
      <c r="N9" s="7"/>
      <c r="O9" s="77">
        <f t="shared" si="2"/>
        <v>0</v>
      </c>
    </row>
    <row r="10" spans="1:15" ht="45" hidden="1" customHeight="1" x14ac:dyDescent="0.25">
      <c r="A10" s="6" t="s">
        <v>75</v>
      </c>
      <c r="B10" s="7"/>
      <c r="C10" s="7"/>
      <c r="D10" s="7"/>
      <c r="E10" s="77">
        <f t="shared" si="0"/>
        <v>0</v>
      </c>
      <c r="G10" s="7"/>
      <c r="H10" s="7"/>
      <c r="I10" s="7"/>
      <c r="J10" s="77">
        <f t="shared" si="1"/>
        <v>0</v>
      </c>
      <c r="L10" s="7"/>
      <c r="M10" s="7"/>
      <c r="N10" s="7"/>
      <c r="O10" s="77">
        <f t="shared" si="2"/>
        <v>0</v>
      </c>
    </row>
    <row r="11" spans="1:15" ht="45" hidden="1" customHeight="1" x14ac:dyDescent="0.25">
      <c r="A11" s="6" t="s">
        <v>76</v>
      </c>
      <c r="B11" s="7"/>
      <c r="C11" s="7"/>
      <c r="D11" s="7"/>
      <c r="E11" s="77">
        <f t="shared" si="0"/>
        <v>0</v>
      </c>
      <c r="G11" s="7"/>
      <c r="H11" s="7"/>
      <c r="I11" s="7"/>
      <c r="J11" s="77">
        <f t="shared" si="1"/>
        <v>0</v>
      </c>
      <c r="L11" s="7"/>
      <c r="M11" s="7"/>
      <c r="N11" s="7"/>
      <c r="O11" s="77">
        <f t="shared" si="2"/>
        <v>0</v>
      </c>
    </row>
    <row r="12" spans="1:15" ht="45" hidden="1" customHeight="1" x14ac:dyDescent="0.25">
      <c r="A12" s="6" t="s">
        <v>77</v>
      </c>
      <c r="B12" s="7"/>
      <c r="C12" s="7"/>
      <c r="D12" s="7"/>
      <c r="E12" s="77">
        <f t="shared" si="0"/>
        <v>0</v>
      </c>
      <c r="G12" s="7"/>
      <c r="H12" s="7"/>
      <c r="I12" s="7"/>
      <c r="J12" s="77">
        <f t="shared" si="1"/>
        <v>0</v>
      </c>
      <c r="L12" s="7"/>
      <c r="M12" s="7"/>
      <c r="N12" s="7"/>
      <c r="O12" s="77">
        <f t="shared" si="2"/>
        <v>0</v>
      </c>
    </row>
    <row r="13" spans="1:15" ht="45" hidden="1" customHeight="1" x14ac:dyDescent="0.25">
      <c r="A13" s="6" t="s">
        <v>78</v>
      </c>
      <c r="B13" s="7"/>
      <c r="C13" s="7"/>
      <c r="D13" s="7"/>
      <c r="E13" s="77">
        <f t="shared" si="0"/>
        <v>0</v>
      </c>
      <c r="G13" s="7"/>
      <c r="H13" s="7"/>
      <c r="I13" s="7"/>
      <c r="J13" s="77">
        <f t="shared" si="1"/>
        <v>0</v>
      </c>
      <c r="L13" s="7"/>
      <c r="M13" s="7"/>
      <c r="N13" s="7"/>
      <c r="O13" s="77">
        <f t="shared" si="2"/>
        <v>0</v>
      </c>
    </row>
    <row r="14" spans="1:15" ht="45" hidden="1" customHeight="1" x14ac:dyDescent="0.25">
      <c r="A14" s="6" t="s">
        <v>79</v>
      </c>
      <c r="B14" s="7"/>
      <c r="C14" s="7"/>
      <c r="D14" s="7"/>
      <c r="E14" s="77">
        <f t="shared" si="0"/>
        <v>0</v>
      </c>
      <c r="G14" s="7"/>
      <c r="H14" s="7"/>
      <c r="I14" s="7"/>
      <c r="J14" s="77">
        <f t="shared" si="1"/>
        <v>0</v>
      </c>
      <c r="L14" s="7"/>
      <c r="M14" s="7"/>
      <c r="N14" s="7"/>
      <c r="O14" s="77">
        <f t="shared" si="2"/>
        <v>0</v>
      </c>
    </row>
    <row r="15" spans="1:15" ht="45" hidden="1" customHeight="1" x14ac:dyDescent="0.25">
      <c r="A15" s="6" t="s">
        <v>80</v>
      </c>
      <c r="B15" s="7"/>
      <c r="C15" s="7"/>
      <c r="D15" s="7"/>
      <c r="E15" s="77">
        <f t="shared" si="0"/>
        <v>0</v>
      </c>
      <c r="G15" s="7"/>
      <c r="H15" s="7"/>
      <c r="I15" s="7"/>
      <c r="J15" s="77">
        <f t="shared" si="1"/>
        <v>0</v>
      </c>
      <c r="L15" s="7"/>
      <c r="M15" s="7"/>
      <c r="N15" s="7"/>
      <c r="O15" s="77">
        <f t="shared" si="2"/>
        <v>0</v>
      </c>
    </row>
    <row r="16" spans="1:15" ht="45" hidden="1" customHeight="1" x14ac:dyDescent="0.25">
      <c r="A16" s="6" t="s">
        <v>81</v>
      </c>
      <c r="B16" s="7"/>
      <c r="C16" s="7"/>
      <c r="D16" s="7"/>
      <c r="E16" s="77">
        <f t="shared" si="0"/>
        <v>0</v>
      </c>
      <c r="G16" s="7"/>
      <c r="H16" s="7"/>
      <c r="I16" s="7"/>
      <c r="J16" s="77">
        <f t="shared" si="1"/>
        <v>0</v>
      </c>
      <c r="L16" s="7"/>
      <c r="M16" s="7"/>
      <c r="N16" s="7"/>
      <c r="O16" s="77">
        <f t="shared" si="2"/>
        <v>0</v>
      </c>
    </row>
    <row r="17" spans="1:15" ht="45" hidden="1" customHeight="1" x14ac:dyDescent="0.25">
      <c r="A17" s="6" t="s">
        <v>82</v>
      </c>
      <c r="B17" s="7"/>
      <c r="C17" s="7"/>
      <c r="D17" s="7"/>
      <c r="E17" s="77">
        <f t="shared" si="0"/>
        <v>0</v>
      </c>
      <c r="G17" s="7"/>
      <c r="H17" s="7"/>
      <c r="I17" s="7"/>
      <c r="J17" s="77">
        <f t="shared" si="1"/>
        <v>0</v>
      </c>
      <c r="L17" s="7"/>
      <c r="M17" s="7"/>
      <c r="N17" s="7"/>
      <c r="O17" s="77">
        <f t="shared" si="2"/>
        <v>0</v>
      </c>
    </row>
    <row r="18" spans="1:15" ht="45" hidden="1" customHeight="1" x14ac:dyDescent="0.25">
      <c r="A18" s="6" t="s">
        <v>83</v>
      </c>
      <c r="B18" s="7"/>
      <c r="C18" s="7"/>
      <c r="D18" s="7"/>
      <c r="E18" s="77">
        <f t="shared" si="0"/>
        <v>0</v>
      </c>
      <c r="G18" s="7"/>
      <c r="H18" s="7"/>
      <c r="I18" s="7"/>
      <c r="J18" s="77">
        <f t="shared" si="1"/>
        <v>0</v>
      </c>
      <c r="L18" s="7"/>
      <c r="M18" s="7"/>
      <c r="N18" s="7"/>
      <c r="O18" s="77">
        <f t="shared" si="2"/>
        <v>0</v>
      </c>
    </row>
    <row r="19" spans="1:15" s="110" customFormat="1" ht="45" customHeight="1" x14ac:dyDescent="0.25">
      <c r="A19" s="33" t="s">
        <v>4</v>
      </c>
      <c r="B19" s="4">
        <f>SUM(B6:B18)</f>
        <v>0</v>
      </c>
      <c r="C19" s="4">
        <f>SUM(C6:C18)</f>
        <v>5089.8</v>
      </c>
      <c r="D19" s="4">
        <f>SUM(D6:D18)</f>
        <v>5089.8</v>
      </c>
      <c r="E19" s="78">
        <f>SUM(E6:E18)</f>
        <v>0</v>
      </c>
      <c r="G19" s="4">
        <f>SUM(G6:G18)</f>
        <v>0</v>
      </c>
      <c r="H19" s="4">
        <f>SUM(H6:H18)</f>
        <v>0</v>
      </c>
      <c r="I19" s="4">
        <f>SUM(I6:I18)</f>
        <v>0</v>
      </c>
      <c r="J19" s="78">
        <f>SUM(J6:J18)</f>
        <v>0</v>
      </c>
      <c r="L19" s="4">
        <f t="shared" ref="L19:N19" si="3">SUM(L6:L18)</f>
        <v>0</v>
      </c>
      <c r="M19" s="4">
        <f t="shared" ref="M19" si="4">SUM(M6:M18)</f>
        <v>0</v>
      </c>
      <c r="N19" s="4">
        <f t="shared" si="3"/>
        <v>0</v>
      </c>
      <c r="O19" s="78">
        <f>SUM(O6:O18)</f>
        <v>0</v>
      </c>
    </row>
    <row r="22" spans="1:15" s="110" customFormat="1" ht="51.75" customHeight="1" x14ac:dyDescent="0.25">
      <c r="A22" s="14" t="s">
        <v>5</v>
      </c>
      <c r="B22" s="34"/>
      <c r="C22" s="34"/>
      <c r="D22" s="34"/>
      <c r="E22" s="34"/>
      <c r="G22" s="199" t="s">
        <v>6</v>
      </c>
      <c r="H22" s="199"/>
      <c r="I22" s="199"/>
      <c r="J22" s="199"/>
      <c r="K22" s="199"/>
      <c r="L22" s="199"/>
      <c r="M22" s="199"/>
      <c r="N22" s="199"/>
      <c r="O22" s="199"/>
    </row>
    <row r="29" spans="1:15" hidden="1" x14ac:dyDescent="0.25">
      <c r="A29" s="5" t="s">
        <v>1</v>
      </c>
      <c r="B29" s="15" t="s">
        <v>202</v>
      </c>
    </row>
    <row r="30" spans="1:15" hidden="1" x14ac:dyDescent="0.25">
      <c r="A30" s="5" t="s">
        <v>201</v>
      </c>
      <c r="B30" s="15" t="s">
        <v>203</v>
      </c>
      <c r="C30" s="15" t="s">
        <v>204</v>
      </c>
      <c r="D30" s="15" t="s">
        <v>204</v>
      </c>
      <c r="E30" s="15" t="s">
        <v>205</v>
      </c>
    </row>
    <row r="31" spans="1:15" hidden="1" x14ac:dyDescent="0.25">
      <c r="A31" s="5" t="s">
        <v>41</v>
      </c>
      <c r="B31" s="15">
        <v>177107.1</v>
      </c>
      <c r="C31" s="15">
        <v>111726.9</v>
      </c>
      <c r="D31" s="15">
        <v>111726.9</v>
      </c>
      <c r="E31" s="15">
        <v>86743</v>
      </c>
      <c r="F31" s="42"/>
      <c r="G31" s="15">
        <f>D6-B31</f>
        <v>-172017.30000000002</v>
      </c>
      <c r="H31" s="15">
        <f>C31-H6</f>
        <v>111726.9</v>
      </c>
      <c r="I31" s="15">
        <f>D31-I6</f>
        <v>111726.9</v>
      </c>
      <c r="J31" s="15">
        <f>E31-N6</f>
        <v>86743</v>
      </c>
    </row>
    <row r="32" spans="1:15" hidden="1" x14ac:dyDescent="0.25">
      <c r="A32" s="5" t="s">
        <v>207</v>
      </c>
      <c r="B32" s="15">
        <v>10392.799999999999</v>
      </c>
      <c r="C32" s="15">
        <v>7841.6</v>
      </c>
      <c r="D32" s="15">
        <v>7841.6</v>
      </c>
      <c r="E32" s="42">
        <v>7057.4</v>
      </c>
      <c r="F32" s="15"/>
      <c r="G32" s="15">
        <f t="shared" ref="G32:G43" si="5">D7-B32</f>
        <v>-10392.799999999999</v>
      </c>
      <c r="H32" s="15">
        <f t="shared" ref="H32:I43" si="6">C32-H7</f>
        <v>7841.6</v>
      </c>
      <c r="I32" s="15">
        <f t="shared" si="6"/>
        <v>7841.6</v>
      </c>
      <c r="J32" s="15">
        <f t="shared" ref="J32:J43" si="7">E32-N7</f>
        <v>7057.4</v>
      </c>
      <c r="K32" s="15"/>
      <c r="O32" s="5"/>
    </row>
    <row r="33" spans="1:15" hidden="1" x14ac:dyDescent="0.25">
      <c r="A33" s="5" t="s">
        <v>208</v>
      </c>
      <c r="B33" s="15">
        <v>9095.7000000000007</v>
      </c>
      <c r="C33" s="15">
        <v>6728.2</v>
      </c>
      <c r="D33" s="15">
        <v>6728.2</v>
      </c>
      <c r="E33" s="42">
        <v>6055.4</v>
      </c>
      <c r="F33" s="15"/>
      <c r="G33" s="15">
        <f t="shared" si="5"/>
        <v>-9095.7000000000007</v>
      </c>
      <c r="H33" s="15">
        <f t="shared" si="6"/>
        <v>6728.2</v>
      </c>
      <c r="I33" s="15">
        <f t="shared" si="6"/>
        <v>6728.2</v>
      </c>
      <c r="J33" s="15">
        <f t="shared" si="7"/>
        <v>6055.4</v>
      </c>
      <c r="K33" s="15"/>
      <c r="O33" s="5"/>
    </row>
    <row r="34" spans="1:15" hidden="1" x14ac:dyDescent="0.25">
      <c r="A34" s="5" t="s">
        <v>209</v>
      </c>
      <c r="B34" s="15">
        <v>19670.099999999999</v>
      </c>
      <c r="C34" s="15">
        <v>15040.8</v>
      </c>
      <c r="D34" s="15">
        <v>15040.8</v>
      </c>
      <c r="E34" s="42">
        <v>13536.7</v>
      </c>
      <c r="F34" s="15"/>
      <c r="G34" s="15">
        <f t="shared" si="5"/>
        <v>-19670.099999999999</v>
      </c>
      <c r="H34" s="15">
        <f t="shared" si="6"/>
        <v>15040.8</v>
      </c>
      <c r="I34" s="15">
        <f t="shared" si="6"/>
        <v>15040.8</v>
      </c>
      <c r="J34" s="15">
        <f t="shared" si="7"/>
        <v>13536.7</v>
      </c>
      <c r="K34" s="15"/>
      <c r="O34" s="5"/>
    </row>
    <row r="35" spans="1:15" ht="39" hidden="1" x14ac:dyDescent="0.25">
      <c r="A35" s="5" t="s">
        <v>206</v>
      </c>
      <c r="B35" s="15">
        <v>1476.9</v>
      </c>
      <c r="C35" s="15">
        <v>250.6</v>
      </c>
      <c r="D35" s="15">
        <v>250.6</v>
      </c>
      <c r="E35" s="15">
        <v>225.5</v>
      </c>
      <c r="G35" s="15">
        <f t="shared" si="5"/>
        <v>-1476.9</v>
      </c>
      <c r="H35" s="15">
        <f t="shared" si="6"/>
        <v>250.6</v>
      </c>
      <c r="I35" s="15">
        <f t="shared" si="6"/>
        <v>250.6</v>
      </c>
      <c r="J35" s="15">
        <f t="shared" si="7"/>
        <v>225.5</v>
      </c>
    </row>
    <row r="36" spans="1:15" hidden="1" x14ac:dyDescent="0.25">
      <c r="A36" s="5" t="s">
        <v>210</v>
      </c>
      <c r="B36" s="15">
        <v>12967.9</v>
      </c>
      <c r="C36" s="15">
        <v>9882.7999999999993</v>
      </c>
      <c r="D36" s="15">
        <v>9882.7999999999993</v>
      </c>
      <c r="E36" s="42">
        <v>8894.5</v>
      </c>
      <c r="F36" s="15"/>
      <c r="G36" s="15">
        <f t="shared" si="5"/>
        <v>-12967.9</v>
      </c>
      <c r="H36" s="15">
        <f t="shared" si="6"/>
        <v>9882.7999999999993</v>
      </c>
      <c r="I36" s="15">
        <f t="shared" si="6"/>
        <v>9882.7999999999993</v>
      </c>
      <c r="J36" s="15">
        <f t="shared" si="7"/>
        <v>8894.5</v>
      </c>
      <c r="K36" s="15"/>
      <c r="O36" s="5"/>
    </row>
    <row r="37" spans="1:15" hidden="1" x14ac:dyDescent="0.25">
      <c r="A37" s="5" t="s">
        <v>211</v>
      </c>
      <c r="B37" s="15">
        <v>14901.6</v>
      </c>
      <c r="C37" s="15">
        <v>11326</v>
      </c>
      <c r="D37" s="15">
        <v>11326</v>
      </c>
      <c r="E37" s="42">
        <v>10193.4</v>
      </c>
      <c r="F37" s="15"/>
      <c r="G37" s="15">
        <f t="shared" si="5"/>
        <v>-14901.6</v>
      </c>
      <c r="H37" s="15">
        <f t="shared" si="6"/>
        <v>11326</v>
      </c>
      <c r="I37" s="15">
        <f t="shared" si="6"/>
        <v>11326</v>
      </c>
      <c r="J37" s="15">
        <f t="shared" si="7"/>
        <v>10193.4</v>
      </c>
      <c r="K37" s="15"/>
      <c r="O37" s="5"/>
    </row>
    <row r="38" spans="1:15" hidden="1" x14ac:dyDescent="0.25">
      <c r="A38" s="5" t="s">
        <v>212</v>
      </c>
      <c r="B38" s="15">
        <v>10775.4</v>
      </c>
      <c r="C38" s="15">
        <v>7988.5</v>
      </c>
      <c r="D38" s="15">
        <v>7988.5</v>
      </c>
      <c r="E38" s="15">
        <v>7189.7</v>
      </c>
      <c r="G38" s="15">
        <f t="shared" si="5"/>
        <v>-10775.4</v>
      </c>
      <c r="H38" s="15">
        <f t="shared" si="6"/>
        <v>7988.5</v>
      </c>
      <c r="I38" s="15">
        <f t="shared" si="6"/>
        <v>7988.5</v>
      </c>
      <c r="J38" s="15">
        <f t="shared" si="7"/>
        <v>7189.7</v>
      </c>
    </row>
    <row r="39" spans="1:15" hidden="1" x14ac:dyDescent="0.25">
      <c r="A39" s="5" t="s">
        <v>213</v>
      </c>
      <c r="B39" s="15">
        <v>8234.5</v>
      </c>
      <c r="C39" s="15">
        <v>7466.6</v>
      </c>
      <c r="D39" s="15">
        <v>7466.6</v>
      </c>
      <c r="E39" s="15">
        <v>6719.9</v>
      </c>
      <c r="G39" s="15">
        <f t="shared" si="5"/>
        <v>-8234.5</v>
      </c>
      <c r="H39" s="15">
        <f t="shared" si="6"/>
        <v>7466.6</v>
      </c>
      <c r="I39" s="15">
        <f t="shared" si="6"/>
        <v>7466.6</v>
      </c>
      <c r="J39" s="15">
        <f t="shared" si="7"/>
        <v>6719.9</v>
      </c>
    </row>
    <row r="40" spans="1:15" hidden="1" x14ac:dyDescent="0.25">
      <c r="A40" s="5" t="s">
        <v>214</v>
      </c>
      <c r="B40" s="15">
        <v>13088.4</v>
      </c>
      <c r="C40" s="15">
        <v>9844.1</v>
      </c>
      <c r="D40" s="15">
        <v>9844.1</v>
      </c>
      <c r="E40" s="15">
        <v>8859.7000000000007</v>
      </c>
      <c r="G40" s="15">
        <f t="shared" si="5"/>
        <v>-13088.4</v>
      </c>
      <c r="H40" s="15">
        <f t="shared" si="6"/>
        <v>9844.1</v>
      </c>
      <c r="I40" s="15">
        <f t="shared" si="6"/>
        <v>9844.1</v>
      </c>
      <c r="J40" s="15">
        <f t="shared" si="7"/>
        <v>8859.7000000000007</v>
      </c>
    </row>
    <row r="41" spans="1:15" hidden="1" x14ac:dyDescent="0.25">
      <c r="A41" s="5" t="s">
        <v>215</v>
      </c>
      <c r="B41" s="15">
        <v>15621.9</v>
      </c>
      <c r="C41" s="15">
        <v>13619.4</v>
      </c>
      <c r="D41" s="15">
        <v>13619.4</v>
      </c>
      <c r="E41" s="15">
        <v>14234.6</v>
      </c>
      <c r="G41" s="15">
        <f t="shared" si="5"/>
        <v>-15621.9</v>
      </c>
      <c r="H41" s="15">
        <f t="shared" si="6"/>
        <v>13619.4</v>
      </c>
      <c r="I41" s="15">
        <f t="shared" si="6"/>
        <v>13619.4</v>
      </c>
      <c r="J41" s="15">
        <f t="shared" si="7"/>
        <v>14234.6</v>
      </c>
    </row>
    <row r="42" spans="1:15" hidden="1" x14ac:dyDescent="0.25">
      <c r="A42" s="5" t="s">
        <v>216</v>
      </c>
      <c r="B42" s="15">
        <v>7348</v>
      </c>
      <c r="C42" s="15">
        <v>5343.3</v>
      </c>
      <c r="D42" s="15">
        <v>5343.3</v>
      </c>
      <c r="E42" s="15">
        <v>4809</v>
      </c>
      <c r="G42" s="15">
        <f t="shared" si="5"/>
        <v>-7348</v>
      </c>
      <c r="H42" s="15">
        <f t="shared" si="6"/>
        <v>5343.3</v>
      </c>
      <c r="I42" s="15">
        <f t="shared" si="6"/>
        <v>5343.3</v>
      </c>
      <c r="J42" s="15">
        <f t="shared" si="7"/>
        <v>4809</v>
      </c>
    </row>
    <row r="43" spans="1:15" hidden="1" x14ac:dyDescent="0.25">
      <c r="A43" s="5" t="s">
        <v>217</v>
      </c>
      <c r="B43" s="15">
        <v>25358.2</v>
      </c>
      <c r="C43" s="15">
        <v>19167.8</v>
      </c>
      <c r="D43" s="15">
        <v>19167.8</v>
      </c>
      <c r="E43" s="15">
        <v>17251</v>
      </c>
      <c r="G43" s="15">
        <f t="shared" si="5"/>
        <v>-25358.2</v>
      </c>
      <c r="H43" s="15">
        <f t="shared" si="6"/>
        <v>19167.8</v>
      </c>
      <c r="I43" s="15">
        <f t="shared" si="6"/>
        <v>19167.8</v>
      </c>
      <c r="J43" s="15">
        <f t="shared" si="7"/>
        <v>17251</v>
      </c>
    </row>
    <row r="44" spans="1:15" hidden="1" x14ac:dyDescent="0.25"/>
  </sheetData>
  <autoFilter ref="A5:O19"/>
  <mergeCells count="4">
    <mergeCell ref="A1:O1"/>
    <mergeCell ref="A2:O2"/>
    <mergeCell ref="A4:O4"/>
    <mergeCell ref="G22:O22"/>
  </mergeCells>
  <printOptions horizontalCentered="1"/>
  <pageMargins left="0" right="0" top="0" bottom="0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3"/>
  <sheetViews>
    <sheetView view="pageBreakPreview" topLeftCell="A40" zoomScale="80" zoomScaleNormal="70" zoomScaleSheetLayoutView="80" workbookViewId="0">
      <selection activeCell="G106" sqref="G106"/>
    </sheetView>
  </sheetViews>
  <sheetFormatPr defaultRowHeight="19.5" x14ac:dyDescent="0.3"/>
  <cols>
    <col min="1" max="1" width="75.7109375" style="31" customWidth="1"/>
    <col min="2" max="2" width="21.85546875" style="31" hidden="1" customWidth="1"/>
    <col min="3" max="3" width="12.42578125" style="61" hidden="1" customWidth="1"/>
    <col min="4" max="4" width="11.5703125" style="58" hidden="1" customWidth="1"/>
    <col min="5" max="5" width="27.28515625" style="26" hidden="1" customWidth="1"/>
    <col min="6" max="8" width="27.28515625" style="26" customWidth="1"/>
    <col min="9" max="16384" width="9.140625" style="31"/>
  </cols>
  <sheetData>
    <row r="1" spans="1:8" x14ac:dyDescent="0.3">
      <c r="A1" s="200" t="s">
        <v>61</v>
      </c>
      <c r="B1" s="200"/>
      <c r="C1" s="200"/>
      <c r="D1" s="200"/>
      <c r="E1" s="200"/>
      <c r="F1" s="200"/>
      <c r="G1" s="200"/>
      <c r="H1" s="200"/>
    </row>
    <row r="2" spans="1:8" s="171" customFormat="1" ht="49.5" customHeight="1" x14ac:dyDescent="0.25">
      <c r="A2" s="202" t="s">
        <v>226</v>
      </c>
      <c r="B2" s="202"/>
      <c r="C2" s="202"/>
      <c r="D2" s="202"/>
      <c r="E2" s="202"/>
      <c r="F2" s="202"/>
      <c r="G2" s="202"/>
      <c r="H2" s="202"/>
    </row>
    <row r="3" spans="1:8" s="27" customFormat="1" x14ac:dyDescent="0.25">
      <c r="A3" s="2"/>
      <c r="B3" s="2"/>
      <c r="C3" s="2"/>
      <c r="D3" s="2"/>
    </row>
    <row r="4" spans="1:8" s="171" customFormat="1" ht="20.25" customHeight="1" x14ac:dyDescent="0.25">
      <c r="A4" s="201" t="s">
        <v>0</v>
      </c>
      <c r="B4" s="201"/>
      <c r="C4" s="201"/>
      <c r="D4" s="201"/>
      <c r="E4" s="201"/>
      <c r="F4" s="201"/>
      <c r="G4" s="201"/>
      <c r="H4" s="201"/>
    </row>
    <row r="5" spans="1:8" s="12" customFormat="1" ht="60.75" customHeight="1" x14ac:dyDescent="0.3">
      <c r="A5" s="33" t="s">
        <v>1</v>
      </c>
      <c r="B5" s="33"/>
      <c r="C5" s="33" t="s">
        <v>85</v>
      </c>
      <c r="D5" s="33" t="s">
        <v>122</v>
      </c>
      <c r="E5" s="51" t="s">
        <v>315</v>
      </c>
      <c r="F5" s="51" t="s">
        <v>335</v>
      </c>
      <c r="G5" s="51" t="s">
        <v>336</v>
      </c>
      <c r="H5" s="51" t="s">
        <v>196</v>
      </c>
    </row>
    <row r="6" spans="1:8" ht="58.5" x14ac:dyDescent="0.3">
      <c r="A6" s="6" t="s">
        <v>7</v>
      </c>
      <c r="B6" s="6" t="s">
        <v>238</v>
      </c>
      <c r="C6" s="68">
        <v>914</v>
      </c>
      <c r="D6" s="68" t="s">
        <v>136</v>
      </c>
      <c r="E6" s="7">
        <v>102.1</v>
      </c>
      <c r="F6" s="7">
        <v>101.9</v>
      </c>
      <c r="G6" s="7">
        <v>101.9</v>
      </c>
      <c r="H6" s="77">
        <f>G6-F6</f>
        <v>0</v>
      </c>
    </row>
    <row r="7" spans="1:8" ht="71.25" customHeight="1" x14ac:dyDescent="0.3">
      <c r="A7" s="6" t="s">
        <v>2</v>
      </c>
      <c r="B7" s="6" t="s">
        <v>238</v>
      </c>
      <c r="C7" s="68">
        <v>914</v>
      </c>
      <c r="D7" s="68" t="s">
        <v>136</v>
      </c>
      <c r="E7" s="7">
        <v>188.4</v>
      </c>
      <c r="F7" s="7">
        <v>188.1</v>
      </c>
      <c r="G7" s="7">
        <v>188.1</v>
      </c>
      <c r="H7" s="77">
        <f t="shared" ref="H7:H49" si="0">G7-F7</f>
        <v>0</v>
      </c>
    </row>
    <row r="8" spans="1:8" ht="132" customHeight="1" x14ac:dyDescent="0.3">
      <c r="A8" s="174" t="s">
        <v>255</v>
      </c>
      <c r="B8" s="174" t="s">
        <v>228</v>
      </c>
      <c r="C8" s="175">
        <v>906</v>
      </c>
      <c r="D8" s="175" t="s">
        <v>123</v>
      </c>
      <c r="E8" s="104">
        <v>486.4</v>
      </c>
      <c r="F8" s="7">
        <f>486.4-138.7</f>
        <v>347.7</v>
      </c>
      <c r="G8" s="7">
        <f>486.4-138.7</f>
        <v>347.7</v>
      </c>
      <c r="H8" s="77">
        <f t="shared" si="0"/>
        <v>0</v>
      </c>
    </row>
    <row r="9" spans="1:8" ht="79.5" customHeight="1" x14ac:dyDescent="0.3">
      <c r="A9" s="174" t="s">
        <v>300</v>
      </c>
      <c r="B9" s="174"/>
      <c r="C9" s="175">
        <v>906</v>
      </c>
      <c r="D9" s="175" t="s">
        <v>123</v>
      </c>
      <c r="E9" s="104"/>
      <c r="F9" s="7">
        <v>22010.6</v>
      </c>
      <c r="G9" s="7">
        <v>22010.6</v>
      </c>
      <c r="H9" s="77">
        <f t="shared" si="0"/>
        <v>0</v>
      </c>
    </row>
    <row r="10" spans="1:8" ht="45.75" customHeight="1" x14ac:dyDescent="0.3">
      <c r="A10" s="55" t="s">
        <v>3</v>
      </c>
      <c r="B10" s="55" t="s">
        <v>228</v>
      </c>
      <c r="C10" s="56">
        <v>906</v>
      </c>
      <c r="D10" s="56" t="s">
        <v>123</v>
      </c>
      <c r="E10" s="7">
        <v>482.4</v>
      </c>
      <c r="F10" s="7">
        <v>482.4</v>
      </c>
      <c r="G10" s="7">
        <v>482.4</v>
      </c>
      <c r="H10" s="77">
        <f t="shared" si="0"/>
        <v>0</v>
      </c>
    </row>
    <row r="11" spans="1:8" ht="66.75" customHeight="1" x14ac:dyDescent="0.3">
      <c r="A11" s="6" t="s">
        <v>254</v>
      </c>
      <c r="B11" s="55" t="s">
        <v>228</v>
      </c>
      <c r="C11" s="68">
        <v>906</v>
      </c>
      <c r="D11" s="68" t="s">
        <v>123</v>
      </c>
      <c r="E11" s="7">
        <v>328.1</v>
      </c>
      <c r="F11" s="7">
        <v>359.5</v>
      </c>
      <c r="G11" s="7">
        <v>359.5</v>
      </c>
      <c r="H11" s="77">
        <f t="shared" si="0"/>
        <v>0</v>
      </c>
    </row>
    <row r="12" spans="1:8" ht="61.5" customHeight="1" x14ac:dyDescent="0.3">
      <c r="A12" s="6" t="s">
        <v>295</v>
      </c>
      <c r="B12" s="55"/>
      <c r="C12" s="68">
        <v>906</v>
      </c>
      <c r="D12" s="68" t="s">
        <v>123</v>
      </c>
      <c r="E12" s="7">
        <v>0</v>
      </c>
      <c r="F12" s="7">
        <v>3461.2</v>
      </c>
      <c r="G12" s="7">
        <v>3461.2</v>
      </c>
      <c r="H12" s="77">
        <f t="shared" si="0"/>
        <v>0</v>
      </c>
    </row>
    <row r="13" spans="1:8" ht="78" x14ac:dyDescent="0.3">
      <c r="A13" s="6" t="s">
        <v>247</v>
      </c>
      <c r="B13" s="6" t="s">
        <v>230</v>
      </c>
      <c r="C13" s="68">
        <v>907</v>
      </c>
      <c r="D13" s="68" t="s">
        <v>125</v>
      </c>
      <c r="E13" s="7">
        <v>31477.3</v>
      </c>
      <c r="F13" s="7">
        <v>34298.9</v>
      </c>
      <c r="G13" s="7">
        <v>34298.9</v>
      </c>
      <c r="H13" s="77">
        <f t="shared" si="0"/>
        <v>0</v>
      </c>
    </row>
    <row r="14" spans="1:8" ht="97.5" x14ac:dyDescent="0.3">
      <c r="A14" s="6" t="s">
        <v>229</v>
      </c>
      <c r="B14" s="6" t="s">
        <v>230</v>
      </c>
      <c r="C14" s="68">
        <v>907</v>
      </c>
      <c r="D14" s="68" t="s">
        <v>125</v>
      </c>
      <c r="E14" s="7">
        <v>1352.8</v>
      </c>
      <c r="F14" s="7">
        <v>1352.8</v>
      </c>
      <c r="G14" s="7">
        <v>1352.8</v>
      </c>
      <c r="H14" s="77">
        <f t="shared" si="0"/>
        <v>0</v>
      </c>
    </row>
    <row r="15" spans="1:8" ht="82.5" customHeight="1" x14ac:dyDescent="0.3">
      <c r="A15" s="6" t="s">
        <v>296</v>
      </c>
      <c r="B15" s="6"/>
      <c r="C15" s="68">
        <v>907</v>
      </c>
      <c r="D15" s="68" t="s">
        <v>125</v>
      </c>
      <c r="E15" s="7"/>
      <c r="F15" s="7">
        <v>5099.3999999999996</v>
      </c>
      <c r="G15" s="7">
        <v>5099.3999999999996</v>
      </c>
      <c r="H15" s="77">
        <f t="shared" si="0"/>
        <v>0</v>
      </c>
    </row>
    <row r="16" spans="1:8" ht="77.25" customHeight="1" x14ac:dyDescent="0.3">
      <c r="A16" s="6" t="s">
        <v>323</v>
      </c>
      <c r="B16" s="6"/>
      <c r="C16" s="68">
        <v>907</v>
      </c>
      <c r="D16" s="68" t="s">
        <v>125</v>
      </c>
      <c r="E16" s="7"/>
      <c r="F16" s="7">
        <v>79625.2</v>
      </c>
      <c r="G16" s="7">
        <v>79625.2</v>
      </c>
      <c r="H16" s="77">
        <f t="shared" si="0"/>
        <v>0</v>
      </c>
    </row>
    <row r="17" spans="1:8" ht="77.25" customHeight="1" x14ac:dyDescent="0.3">
      <c r="A17" s="6" t="s">
        <v>326</v>
      </c>
      <c r="B17" s="6"/>
      <c r="C17" s="68"/>
      <c r="D17" s="68"/>
      <c r="E17" s="7"/>
      <c r="F17" s="7">
        <v>10692.7</v>
      </c>
      <c r="G17" s="7">
        <v>10692.7</v>
      </c>
      <c r="H17" s="77">
        <f t="shared" si="0"/>
        <v>0</v>
      </c>
    </row>
    <row r="18" spans="1:8" ht="102" customHeight="1" x14ac:dyDescent="0.3">
      <c r="A18" s="6" t="s">
        <v>298</v>
      </c>
      <c r="B18" s="6"/>
      <c r="C18" s="68">
        <v>907</v>
      </c>
      <c r="D18" s="68" t="s">
        <v>145</v>
      </c>
      <c r="E18" s="7"/>
      <c r="F18" s="7">
        <v>13653</v>
      </c>
      <c r="G18" s="7">
        <v>13653</v>
      </c>
      <c r="H18" s="77">
        <f t="shared" si="0"/>
        <v>0</v>
      </c>
    </row>
    <row r="19" spans="1:8" ht="102" customHeight="1" x14ac:dyDescent="0.3">
      <c r="A19" s="6" t="s">
        <v>297</v>
      </c>
      <c r="B19" s="6"/>
      <c r="C19" s="68">
        <v>907</v>
      </c>
      <c r="D19" s="68" t="s">
        <v>125</v>
      </c>
      <c r="E19" s="7"/>
      <c r="F19" s="7">
        <v>64287.5</v>
      </c>
      <c r="G19" s="7">
        <v>64287.5</v>
      </c>
      <c r="H19" s="77">
        <f t="shared" si="0"/>
        <v>0</v>
      </c>
    </row>
    <row r="20" spans="1:8" ht="102" customHeight="1" x14ac:dyDescent="0.3">
      <c r="A20" s="6" t="s">
        <v>325</v>
      </c>
      <c r="B20" s="6"/>
      <c r="C20" s="68"/>
      <c r="D20" s="68"/>
      <c r="E20" s="7"/>
      <c r="F20" s="7">
        <v>59816.6</v>
      </c>
      <c r="G20" s="7">
        <v>59816.6</v>
      </c>
      <c r="H20" s="77">
        <f t="shared" si="0"/>
        <v>0</v>
      </c>
    </row>
    <row r="21" spans="1:8" ht="81.75" customHeight="1" x14ac:dyDescent="0.3">
      <c r="A21" s="6" t="s">
        <v>299</v>
      </c>
      <c r="B21" s="6"/>
      <c r="C21" s="68">
        <v>914</v>
      </c>
      <c r="D21" s="68" t="s">
        <v>311</v>
      </c>
      <c r="E21" s="7"/>
      <c r="F21" s="7">
        <v>131290.1</v>
      </c>
      <c r="G21" s="7">
        <v>131290.1</v>
      </c>
      <c r="H21" s="77">
        <f t="shared" si="0"/>
        <v>0</v>
      </c>
    </row>
    <row r="22" spans="1:8" ht="81.75" customHeight="1" x14ac:dyDescent="0.3">
      <c r="A22" s="6" t="s">
        <v>324</v>
      </c>
      <c r="B22" s="6"/>
      <c r="C22" s="68"/>
      <c r="D22" s="68"/>
      <c r="E22" s="7"/>
      <c r="F22" s="7">
        <v>1854.8</v>
      </c>
      <c r="G22" s="7">
        <v>1854.8</v>
      </c>
      <c r="H22" s="77">
        <f t="shared" si="0"/>
        <v>0</v>
      </c>
    </row>
    <row r="23" spans="1:8" ht="97.5" hidden="1" x14ac:dyDescent="0.3">
      <c r="A23" s="6" t="s">
        <v>250</v>
      </c>
      <c r="B23" s="6" t="s">
        <v>231</v>
      </c>
      <c r="C23" s="68">
        <v>914</v>
      </c>
      <c r="D23" s="68" t="s">
        <v>126</v>
      </c>
      <c r="E23" s="7">
        <v>11775.9</v>
      </c>
      <c r="F23" s="7"/>
      <c r="G23" s="7"/>
      <c r="H23" s="77">
        <f t="shared" si="0"/>
        <v>0</v>
      </c>
    </row>
    <row r="24" spans="1:8" ht="117.75" hidden="1" customHeight="1" x14ac:dyDescent="0.3">
      <c r="A24" s="6" t="s">
        <v>251</v>
      </c>
      <c r="B24" s="6" t="s">
        <v>231</v>
      </c>
      <c r="C24" s="68">
        <v>914</v>
      </c>
      <c r="D24" s="68" t="s">
        <v>126</v>
      </c>
      <c r="E24" s="7">
        <v>5061.8</v>
      </c>
      <c r="F24" s="7"/>
      <c r="G24" s="7"/>
      <c r="H24" s="77">
        <f t="shared" si="0"/>
        <v>0</v>
      </c>
    </row>
    <row r="25" spans="1:8" ht="62.25" customHeight="1" x14ac:dyDescent="0.3">
      <c r="A25" s="6" t="s">
        <v>283</v>
      </c>
      <c r="B25" s="6" t="s">
        <v>232</v>
      </c>
      <c r="C25" s="68">
        <v>914</v>
      </c>
      <c r="D25" s="68" t="s">
        <v>132</v>
      </c>
      <c r="E25" s="7">
        <v>55836</v>
      </c>
      <c r="F25" s="7">
        <v>36365.300000000003</v>
      </c>
      <c r="G25" s="7">
        <v>36365.300000000003</v>
      </c>
      <c r="H25" s="77">
        <f t="shared" si="0"/>
        <v>0</v>
      </c>
    </row>
    <row r="26" spans="1:8" ht="62.25" customHeight="1" x14ac:dyDescent="0.3">
      <c r="A26" s="6" t="s">
        <v>328</v>
      </c>
      <c r="B26" s="6"/>
      <c r="C26" s="68"/>
      <c r="D26" s="68"/>
      <c r="E26" s="7"/>
      <c r="F26" s="7">
        <v>17834.8</v>
      </c>
      <c r="G26" s="7">
        <v>17834.8</v>
      </c>
      <c r="H26" s="77">
        <f t="shared" si="0"/>
        <v>0</v>
      </c>
    </row>
    <row r="27" spans="1:8" ht="85.5" customHeight="1" x14ac:dyDescent="0.3">
      <c r="A27" s="6" t="s">
        <v>329</v>
      </c>
      <c r="B27" s="6"/>
      <c r="C27" s="68"/>
      <c r="D27" s="68"/>
      <c r="E27" s="7"/>
      <c r="F27" s="7">
        <v>25951.4</v>
      </c>
      <c r="G27" s="7">
        <v>25951.4</v>
      </c>
      <c r="H27" s="77">
        <f t="shared" si="0"/>
        <v>0</v>
      </c>
    </row>
    <row r="28" spans="1:8" ht="42" customHeight="1" x14ac:dyDescent="0.3">
      <c r="A28" s="6" t="s">
        <v>306</v>
      </c>
      <c r="B28" s="6"/>
      <c r="C28" s="68">
        <v>914</v>
      </c>
      <c r="D28" s="68" t="s">
        <v>126</v>
      </c>
      <c r="E28" s="7"/>
      <c r="F28" s="7">
        <v>718</v>
      </c>
      <c r="G28" s="7">
        <v>718</v>
      </c>
      <c r="H28" s="77">
        <f t="shared" si="0"/>
        <v>0</v>
      </c>
    </row>
    <row r="29" spans="1:8" ht="78" x14ac:dyDescent="0.3">
      <c r="A29" s="6" t="s">
        <v>134</v>
      </c>
      <c r="B29" s="6" t="s">
        <v>233</v>
      </c>
      <c r="C29" s="68">
        <v>914</v>
      </c>
      <c r="D29" s="68" t="s">
        <v>126</v>
      </c>
      <c r="E29" s="7">
        <v>91.5</v>
      </c>
      <c r="F29" s="7">
        <f>91.5+29.7</f>
        <v>121.2</v>
      </c>
      <c r="G29" s="7">
        <f>91.5+29.7</f>
        <v>121.2</v>
      </c>
      <c r="H29" s="77">
        <f t="shared" si="0"/>
        <v>0</v>
      </c>
    </row>
    <row r="30" spans="1:8" ht="78" x14ac:dyDescent="0.3">
      <c r="A30" s="6" t="s">
        <v>218</v>
      </c>
      <c r="B30" s="6" t="s">
        <v>233</v>
      </c>
      <c r="C30" s="68">
        <v>914</v>
      </c>
      <c r="D30" s="68" t="s">
        <v>126</v>
      </c>
      <c r="E30" s="7">
        <v>1499.2</v>
      </c>
      <c r="F30" s="7">
        <f>1499.2-602.6</f>
        <v>896.6</v>
      </c>
      <c r="G30" s="7">
        <f>1499.2-602.6</f>
        <v>896.6</v>
      </c>
      <c r="H30" s="77">
        <f t="shared" si="0"/>
        <v>0</v>
      </c>
    </row>
    <row r="31" spans="1:8" ht="58.5" x14ac:dyDescent="0.3">
      <c r="A31" s="6" t="s">
        <v>133</v>
      </c>
      <c r="B31" s="6" t="s">
        <v>233</v>
      </c>
      <c r="C31" s="68">
        <v>914</v>
      </c>
      <c r="D31" s="68" t="s">
        <v>126</v>
      </c>
      <c r="E31" s="7">
        <v>10570.1</v>
      </c>
      <c r="F31" s="7">
        <f>40.6</f>
        <v>40.6</v>
      </c>
      <c r="G31" s="7">
        <f>40.6</f>
        <v>40.6</v>
      </c>
      <c r="H31" s="77">
        <f t="shared" si="0"/>
        <v>0</v>
      </c>
    </row>
    <row r="32" spans="1:8" ht="78" hidden="1" x14ac:dyDescent="0.3">
      <c r="A32" s="6" t="s">
        <v>285</v>
      </c>
      <c r="B32" s="6" t="s">
        <v>233</v>
      </c>
      <c r="C32" s="68">
        <v>914</v>
      </c>
      <c r="D32" s="68" t="s">
        <v>127</v>
      </c>
      <c r="E32" s="7">
        <v>29951.4</v>
      </c>
      <c r="F32" s="7"/>
      <c r="G32" s="7"/>
      <c r="H32" s="77">
        <f t="shared" si="0"/>
        <v>0</v>
      </c>
    </row>
    <row r="33" spans="1:8" ht="115.5" customHeight="1" x14ac:dyDescent="0.3">
      <c r="A33" s="6" t="s">
        <v>308</v>
      </c>
      <c r="B33" s="6" t="s">
        <v>234</v>
      </c>
      <c r="C33" s="68">
        <v>904</v>
      </c>
      <c r="D33" s="68" t="s">
        <v>282</v>
      </c>
      <c r="E33" s="7">
        <v>0</v>
      </c>
      <c r="F33" s="176">
        <f>16785.5-12203.4</f>
        <v>4582.1000000000004</v>
      </c>
      <c r="G33" s="176">
        <f>16785.5-12203.4+5869.8</f>
        <v>10451.900000000001</v>
      </c>
      <c r="H33" s="77">
        <f t="shared" si="0"/>
        <v>5869.8000000000011</v>
      </c>
    </row>
    <row r="34" spans="1:8" ht="115.5" customHeight="1" x14ac:dyDescent="0.3">
      <c r="A34" s="6" t="s">
        <v>307</v>
      </c>
      <c r="B34" s="6" t="s">
        <v>234</v>
      </c>
      <c r="C34" s="68">
        <v>904</v>
      </c>
      <c r="D34" s="68" t="s">
        <v>282</v>
      </c>
      <c r="E34" s="7">
        <v>115485.5</v>
      </c>
      <c r="F34" s="176">
        <f>98700+52164.8+0.1</f>
        <v>150864.9</v>
      </c>
      <c r="G34" s="176">
        <f>98700+52164.8+0.1-5869.8</f>
        <v>144995.1</v>
      </c>
      <c r="H34" s="77">
        <f t="shared" si="0"/>
        <v>-5869.7999999999884</v>
      </c>
    </row>
    <row r="35" spans="1:8" ht="115.5" customHeight="1" x14ac:dyDescent="0.3">
      <c r="A35" s="177" t="s">
        <v>330</v>
      </c>
      <c r="B35" s="6"/>
      <c r="C35" s="68"/>
      <c r="D35" s="68"/>
      <c r="E35" s="7"/>
      <c r="F35" s="176">
        <f>1255.3-0.1</f>
        <v>1255.2</v>
      </c>
      <c r="G35" s="176">
        <f>1255.3-0.1</f>
        <v>1255.2</v>
      </c>
      <c r="H35" s="77">
        <f t="shared" si="0"/>
        <v>0</v>
      </c>
    </row>
    <row r="36" spans="1:8" ht="58.5" customHeight="1" x14ac:dyDescent="0.3">
      <c r="A36" s="6" t="s">
        <v>110</v>
      </c>
      <c r="B36" s="6" t="s">
        <v>234</v>
      </c>
      <c r="C36" s="68">
        <v>902</v>
      </c>
      <c r="D36" s="68" t="s">
        <v>128</v>
      </c>
      <c r="E36" s="7">
        <v>2991.7</v>
      </c>
      <c r="F36" s="7">
        <f>2857.3-1249</f>
        <v>1608.3000000000002</v>
      </c>
      <c r="G36" s="7">
        <f>2857.3-1249</f>
        <v>1608.3000000000002</v>
      </c>
      <c r="H36" s="77">
        <f t="shared" si="0"/>
        <v>0</v>
      </c>
    </row>
    <row r="37" spans="1:8" ht="39" x14ac:dyDescent="0.3">
      <c r="A37" s="6" t="s">
        <v>130</v>
      </c>
      <c r="B37" s="6" t="s">
        <v>235</v>
      </c>
      <c r="C37" s="68">
        <v>907</v>
      </c>
      <c r="D37" s="68" t="s">
        <v>131</v>
      </c>
      <c r="E37" s="7">
        <v>3098.6</v>
      </c>
      <c r="F37" s="7">
        <v>3081.1</v>
      </c>
      <c r="G37" s="7">
        <v>3081.1</v>
      </c>
      <c r="H37" s="77">
        <f t="shared" si="0"/>
        <v>0</v>
      </c>
    </row>
    <row r="38" spans="1:8" ht="78" x14ac:dyDescent="0.3">
      <c r="A38" s="6" t="s">
        <v>111</v>
      </c>
      <c r="B38" s="6" t="s">
        <v>235</v>
      </c>
      <c r="C38" s="68">
        <v>913</v>
      </c>
      <c r="D38" s="68" t="s">
        <v>137</v>
      </c>
      <c r="E38" s="7">
        <v>450.4</v>
      </c>
      <c r="F38" s="7">
        <v>464.3</v>
      </c>
      <c r="G38" s="7">
        <v>464.3</v>
      </c>
      <c r="H38" s="77">
        <f t="shared" si="0"/>
        <v>0</v>
      </c>
    </row>
    <row r="39" spans="1:8" ht="39" customHeight="1" x14ac:dyDescent="0.3">
      <c r="A39" s="6" t="s">
        <v>236</v>
      </c>
      <c r="B39" s="6" t="s">
        <v>237</v>
      </c>
      <c r="C39" s="68">
        <v>914</v>
      </c>
      <c r="D39" s="68" t="s">
        <v>281</v>
      </c>
      <c r="E39" s="7">
        <v>1339.3</v>
      </c>
      <c r="F39" s="7">
        <v>1130.0999999999999</v>
      </c>
      <c r="G39" s="7">
        <v>1130.0999999999999</v>
      </c>
      <c r="H39" s="77">
        <f t="shared" si="0"/>
        <v>0</v>
      </c>
    </row>
    <row r="40" spans="1:8" ht="58.5" x14ac:dyDescent="0.3">
      <c r="A40" s="6" t="s">
        <v>105</v>
      </c>
      <c r="B40" s="6" t="s">
        <v>239</v>
      </c>
      <c r="C40" s="68">
        <v>906</v>
      </c>
      <c r="D40" s="68" t="s">
        <v>131</v>
      </c>
      <c r="E40" s="7">
        <v>481.6</v>
      </c>
      <c r="F40" s="7">
        <v>481.6</v>
      </c>
      <c r="G40" s="7">
        <v>481.6</v>
      </c>
      <c r="H40" s="77">
        <f t="shared" si="0"/>
        <v>0</v>
      </c>
    </row>
    <row r="41" spans="1:8" ht="67.5" customHeight="1" x14ac:dyDescent="0.3">
      <c r="A41" s="6" t="s">
        <v>337</v>
      </c>
      <c r="B41" s="6"/>
      <c r="C41" s="68"/>
      <c r="D41" s="68"/>
      <c r="E41" s="7"/>
      <c r="F41" s="7">
        <v>3826.1</v>
      </c>
      <c r="G41" s="7">
        <v>3826.1</v>
      </c>
      <c r="H41" s="77">
        <f t="shared" si="0"/>
        <v>0</v>
      </c>
    </row>
    <row r="42" spans="1:8" ht="69" customHeight="1" x14ac:dyDescent="0.3">
      <c r="A42" s="6" t="s">
        <v>338</v>
      </c>
      <c r="B42" s="6"/>
      <c r="C42" s="68"/>
      <c r="D42" s="68"/>
      <c r="E42" s="7"/>
      <c r="F42" s="7">
        <v>3826.1</v>
      </c>
      <c r="G42" s="7">
        <v>3826.1</v>
      </c>
      <c r="H42" s="77">
        <f t="shared" si="0"/>
        <v>0</v>
      </c>
    </row>
    <row r="43" spans="1:8" ht="61.5" customHeight="1" x14ac:dyDescent="0.3">
      <c r="A43" s="6" t="s">
        <v>339</v>
      </c>
      <c r="B43" s="6"/>
      <c r="C43" s="68"/>
      <c r="D43" s="68"/>
      <c r="E43" s="7"/>
      <c r="F43" s="7">
        <v>3826.1</v>
      </c>
      <c r="G43" s="7">
        <v>3826.1</v>
      </c>
      <c r="H43" s="77">
        <f t="shared" si="0"/>
        <v>0</v>
      </c>
    </row>
    <row r="44" spans="1:8" ht="79.5" customHeight="1" x14ac:dyDescent="0.3">
      <c r="A44" s="6" t="s">
        <v>327</v>
      </c>
      <c r="B44" s="6"/>
      <c r="C44" s="68"/>
      <c r="D44" s="68"/>
      <c r="E44" s="7"/>
      <c r="F44" s="7">
        <v>10742.4</v>
      </c>
      <c r="G44" s="7">
        <v>10742.4</v>
      </c>
      <c r="H44" s="77">
        <f t="shared" si="0"/>
        <v>0</v>
      </c>
    </row>
    <row r="45" spans="1:8" ht="79.5" customHeight="1" x14ac:dyDescent="0.3">
      <c r="A45" s="6" t="s">
        <v>331</v>
      </c>
      <c r="B45" s="6"/>
      <c r="C45" s="68"/>
      <c r="D45" s="68"/>
      <c r="E45" s="7"/>
      <c r="F45" s="7">
        <v>1030.4000000000001</v>
      </c>
      <c r="G45" s="7">
        <v>1030.4000000000001</v>
      </c>
      <c r="H45" s="77">
        <f t="shared" si="0"/>
        <v>0</v>
      </c>
    </row>
    <row r="46" spans="1:8" ht="79.5" customHeight="1" x14ac:dyDescent="0.3">
      <c r="A46" s="6" t="s">
        <v>332</v>
      </c>
      <c r="B46" s="6"/>
      <c r="C46" s="68"/>
      <c r="D46" s="68"/>
      <c r="E46" s="7"/>
      <c r="F46" s="7">
        <v>1656.6</v>
      </c>
      <c r="G46" s="7">
        <v>1656.6</v>
      </c>
      <c r="H46" s="77">
        <f t="shared" si="0"/>
        <v>0</v>
      </c>
    </row>
    <row r="47" spans="1:8" ht="79.5" customHeight="1" x14ac:dyDescent="0.3">
      <c r="A47" s="6" t="s">
        <v>333</v>
      </c>
      <c r="B47" s="6"/>
      <c r="C47" s="68"/>
      <c r="D47" s="68"/>
      <c r="E47" s="7"/>
      <c r="F47" s="7">
        <v>2000</v>
      </c>
      <c r="G47" s="7">
        <v>2000</v>
      </c>
      <c r="H47" s="77">
        <f t="shared" si="0"/>
        <v>0</v>
      </c>
    </row>
    <row r="48" spans="1:8" ht="79.5" customHeight="1" x14ac:dyDescent="0.3">
      <c r="A48" s="6" t="s">
        <v>334</v>
      </c>
      <c r="B48" s="6"/>
      <c r="C48" s="68"/>
      <c r="D48" s="68"/>
      <c r="E48" s="7"/>
      <c r="F48" s="7">
        <v>2000</v>
      </c>
      <c r="G48" s="7">
        <v>2000</v>
      </c>
      <c r="H48" s="77">
        <f t="shared" ref="H48" si="1">G48-F48</f>
        <v>0</v>
      </c>
    </row>
    <row r="49" spans="1:8" ht="65.25" customHeight="1" x14ac:dyDescent="0.3">
      <c r="A49" s="6" t="s">
        <v>374</v>
      </c>
      <c r="B49" s="6" t="s">
        <v>374</v>
      </c>
      <c r="C49" s="68"/>
      <c r="D49" s="68"/>
      <c r="E49" s="7"/>
      <c r="F49" s="7">
        <v>0</v>
      </c>
      <c r="G49" s="7">
        <v>75618.7</v>
      </c>
      <c r="H49" s="77">
        <f t="shared" si="0"/>
        <v>75618.7</v>
      </c>
    </row>
    <row r="50" spans="1:8" s="8" customFormat="1" ht="33" customHeight="1" x14ac:dyDescent="0.25">
      <c r="A50" s="33" t="s">
        <v>4</v>
      </c>
      <c r="B50" s="33"/>
      <c r="C50" s="36" t="s">
        <v>87</v>
      </c>
      <c r="D50" s="36" t="s">
        <v>87</v>
      </c>
      <c r="E50" s="9">
        <f>SUM(E6:E40)</f>
        <v>273050.5</v>
      </c>
      <c r="F50" s="9">
        <f>SUM(F6:F49)</f>
        <v>703225.59999999986</v>
      </c>
      <c r="G50" s="9">
        <f>SUM(G6:G49)</f>
        <v>778844.29999999981</v>
      </c>
      <c r="H50" s="9">
        <f>SUM(H6:H49)</f>
        <v>75618.700000000012</v>
      </c>
    </row>
    <row r="51" spans="1:8" s="17" customFormat="1" x14ac:dyDescent="0.3">
      <c r="C51" s="59"/>
      <c r="D51" s="178"/>
      <c r="E51" s="35"/>
      <c r="F51" s="35"/>
      <c r="G51" s="35"/>
      <c r="H51" s="35"/>
    </row>
    <row r="52" spans="1:8" s="17" customFormat="1" x14ac:dyDescent="0.3">
      <c r="C52" s="59"/>
      <c r="D52" s="178"/>
      <c r="E52" s="18"/>
      <c r="F52" s="35"/>
      <c r="G52" s="35"/>
      <c r="H52" s="18"/>
    </row>
    <row r="53" spans="1:8" s="10" customFormat="1" x14ac:dyDescent="0.3">
      <c r="C53" s="60"/>
      <c r="D53" s="179"/>
      <c r="E53" s="11"/>
      <c r="F53" s="11"/>
      <c r="G53" s="11"/>
      <c r="H53" s="11"/>
    </row>
    <row r="54" spans="1:8" s="12" customFormat="1" ht="45.75" customHeight="1" x14ac:dyDescent="0.3">
      <c r="A54" s="13" t="s">
        <v>5</v>
      </c>
      <c r="B54" s="13"/>
      <c r="C54" s="173"/>
      <c r="D54" s="180"/>
      <c r="E54" s="172"/>
      <c r="F54" s="172"/>
      <c r="G54" s="172"/>
      <c r="H54" s="172" t="s">
        <v>6</v>
      </c>
    </row>
    <row r="56" spans="1:8" hidden="1" x14ac:dyDescent="0.3"/>
    <row r="57" spans="1:8" hidden="1" x14ac:dyDescent="0.3">
      <c r="E57" s="26">
        <v>300814.00000000006</v>
      </c>
      <c r="F57" s="26">
        <v>513222.79999999993</v>
      </c>
    </row>
    <row r="58" spans="1:8" hidden="1" x14ac:dyDescent="0.3">
      <c r="E58" s="26">
        <f>E50-E57</f>
        <v>-27763.500000000058</v>
      </c>
      <c r="F58" s="26">
        <f>F50-F57</f>
        <v>190002.79999999993</v>
      </c>
    </row>
    <row r="59" spans="1:8" hidden="1" x14ac:dyDescent="0.3"/>
    <row r="60" spans="1:8" hidden="1" x14ac:dyDescent="0.3"/>
    <row r="61" spans="1:8" hidden="1" x14ac:dyDescent="0.3"/>
    <row r="62" spans="1:8" hidden="1" x14ac:dyDescent="0.3"/>
    <row r="63" spans="1:8" hidden="1" x14ac:dyDescent="0.3">
      <c r="C63" s="61">
        <v>902</v>
      </c>
      <c r="D63" s="58" t="s">
        <v>128</v>
      </c>
      <c r="E63" s="26">
        <f>E36</f>
        <v>2991.7</v>
      </c>
      <c r="F63" s="26">
        <f>F36</f>
        <v>1608.3000000000002</v>
      </c>
      <c r="H63" s="26">
        <f>H36</f>
        <v>0</v>
      </c>
    </row>
    <row r="64" spans="1:8" hidden="1" x14ac:dyDescent="0.3"/>
    <row r="65" spans="3:8" hidden="1" x14ac:dyDescent="0.3">
      <c r="C65" s="61">
        <v>904</v>
      </c>
      <c r="D65" s="58" t="s">
        <v>126</v>
      </c>
      <c r="E65" s="26">
        <f>E29</f>
        <v>91.5</v>
      </c>
      <c r="F65" s="26">
        <f>F29</f>
        <v>121.2</v>
      </c>
      <c r="H65" s="26">
        <f>H29</f>
        <v>0</v>
      </c>
    </row>
    <row r="66" spans="3:8" hidden="1" x14ac:dyDescent="0.3">
      <c r="C66" s="61">
        <v>904</v>
      </c>
      <c r="D66" s="58" t="s">
        <v>127</v>
      </c>
      <c r="E66" s="26" t="e">
        <f>#REF!</f>
        <v>#REF!</v>
      </c>
      <c r="F66" s="26" t="e">
        <f>#REF!</f>
        <v>#REF!</v>
      </c>
      <c r="H66" s="26" t="e">
        <f>#REF!</f>
        <v>#REF!</v>
      </c>
    </row>
    <row r="67" spans="3:8" hidden="1" x14ac:dyDescent="0.3">
      <c r="C67" s="61">
        <v>904</v>
      </c>
      <c r="D67" s="58" t="s">
        <v>123</v>
      </c>
      <c r="E67" s="26" t="e">
        <f>#REF!+#REF!</f>
        <v>#REF!</v>
      </c>
      <c r="F67" s="26" t="e">
        <f>#REF!+#REF!</f>
        <v>#REF!</v>
      </c>
      <c r="H67" s="26" t="e">
        <f>#REF!+#REF!</f>
        <v>#REF!</v>
      </c>
    </row>
    <row r="68" spans="3:8" hidden="1" x14ac:dyDescent="0.3"/>
    <row r="69" spans="3:8" hidden="1" x14ac:dyDescent="0.3">
      <c r="C69" s="61">
        <v>906</v>
      </c>
      <c r="D69" s="58" t="s">
        <v>124</v>
      </c>
      <c r="E69" s="26">
        <f>E11</f>
        <v>328.1</v>
      </c>
      <c r="F69" s="26">
        <f>F11</f>
        <v>359.5</v>
      </c>
      <c r="H69" s="26">
        <f>H11</f>
        <v>0</v>
      </c>
    </row>
    <row r="70" spans="3:8" hidden="1" x14ac:dyDescent="0.3">
      <c r="C70" s="61">
        <v>906</v>
      </c>
      <c r="D70" s="58" t="s">
        <v>131</v>
      </c>
      <c r="E70" s="26">
        <f>E40</f>
        <v>481.6</v>
      </c>
      <c r="F70" s="26">
        <f>F40</f>
        <v>481.6</v>
      </c>
      <c r="H70" s="26">
        <f>H40</f>
        <v>0</v>
      </c>
    </row>
    <row r="71" spans="3:8" hidden="1" x14ac:dyDescent="0.3">
      <c r="C71" s="61">
        <v>906</v>
      </c>
      <c r="D71" s="58" t="s">
        <v>123</v>
      </c>
      <c r="E71" s="26" t="e">
        <f>#REF!+E8+#REF!+E10</f>
        <v>#REF!</v>
      </c>
      <c r="F71" s="26" t="e">
        <f>#REF!+F8+#REF!+F10</f>
        <v>#REF!</v>
      </c>
      <c r="H71" s="26" t="e">
        <f>#REF!+H8+#REF!+H10</f>
        <v>#REF!</v>
      </c>
    </row>
    <row r="72" spans="3:8" hidden="1" x14ac:dyDescent="0.3"/>
    <row r="73" spans="3:8" hidden="1" x14ac:dyDescent="0.3">
      <c r="C73" s="61">
        <v>907</v>
      </c>
      <c r="D73" s="58" t="s">
        <v>125</v>
      </c>
      <c r="E73" s="26" t="e">
        <f>#REF!+E13+#REF!</f>
        <v>#REF!</v>
      </c>
      <c r="F73" s="26" t="e">
        <f>#REF!+F13+#REF!</f>
        <v>#REF!</v>
      </c>
      <c r="H73" s="26" t="e">
        <f>#REF!+H13+#REF!</f>
        <v>#REF!</v>
      </c>
    </row>
    <row r="74" spans="3:8" hidden="1" x14ac:dyDescent="0.3">
      <c r="C74" s="61">
        <v>907</v>
      </c>
      <c r="D74" s="58" t="s">
        <v>131</v>
      </c>
      <c r="E74" s="26">
        <f>E37</f>
        <v>3098.6</v>
      </c>
      <c r="F74" s="26">
        <f>F37</f>
        <v>3081.1</v>
      </c>
      <c r="H74" s="26">
        <f>H37</f>
        <v>0</v>
      </c>
    </row>
    <row r="75" spans="3:8" hidden="1" x14ac:dyDescent="0.3"/>
    <row r="76" spans="3:8" hidden="1" x14ac:dyDescent="0.3">
      <c r="C76" s="61">
        <v>913</v>
      </c>
      <c r="D76" s="58" t="s">
        <v>137</v>
      </c>
      <c r="E76" s="26">
        <f>E38</f>
        <v>450.4</v>
      </c>
      <c r="F76" s="26">
        <f>F38</f>
        <v>464.3</v>
      </c>
      <c r="H76" s="26">
        <f>H38</f>
        <v>0</v>
      </c>
    </row>
    <row r="77" spans="3:8" hidden="1" x14ac:dyDescent="0.3">
      <c r="C77" s="61">
        <v>913</v>
      </c>
      <c r="D77" s="58" t="s">
        <v>129</v>
      </c>
      <c r="E77" s="26" t="e">
        <f>#REF!</f>
        <v>#REF!</v>
      </c>
      <c r="F77" s="26" t="e">
        <f>#REF!</f>
        <v>#REF!</v>
      </c>
      <c r="H77" s="26" t="e">
        <f>#REF!</f>
        <v>#REF!</v>
      </c>
    </row>
    <row r="78" spans="3:8" hidden="1" x14ac:dyDescent="0.3"/>
    <row r="79" spans="3:8" hidden="1" x14ac:dyDescent="0.3">
      <c r="C79" s="61">
        <v>914</v>
      </c>
      <c r="D79" s="58" t="s">
        <v>136</v>
      </c>
      <c r="E79" s="26">
        <f>E6+E7</f>
        <v>290.5</v>
      </c>
      <c r="F79" s="26">
        <f>F6+F7</f>
        <v>290</v>
      </c>
      <c r="H79" s="26">
        <f>H6+H7</f>
        <v>0</v>
      </c>
    </row>
    <row r="80" spans="3:8" hidden="1" x14ac:dyDescent="0.3">
      <c r="C80" s="61">
        <v>914</v>
      </c>
      <c r="D80" s="58" t="s">
        <v>132</v>
      </c>
      <c r="E80" s="26" t="e">
        <f>#REF!+#REF!</f>
        <v>#REF!</v>
      </c>
      <c r="F80" s="26" t="e">
        <f>#REF!+#REF!</f>
        <v>#REF!</v>
      </c>
      <c r="H80" s="26" t="e">
        <f>#REF!+#REF!</f>
        <v>#REF!</v>
      </c>
    </row>
    <row r="81" spans="1:8" hidden="1" x14ac:dyDescent="0.3">
      <c r="C81" s="61">
        <v>914</v>
      </c>
      <c r="D81" s="58" t="s">
        <v>126</v>
      </c>
      <c r="E81" s="26" t="e">
        <f>#REF!+E31</f>
        <v>#REF!</v>
      </c>
      <c r="F81" s="26" t="e">
        <f>#REF!+F31</f>
        <v>#REF!</v>
      </c>
      <c r="H81" s="26" t="e">
        <f>#REF!+H31</f>
        <v>#REF!</v>
      </c>
    </row>
    <row r="82" spans="1:8" hidden="1" x14ac:dyDescent="0.3">
      <c r="C82" s="61">
        <v>914</v>
      </c>
      <c r="D82" s="58" t="s">
        <v>135</v>
      </c>
      <c r="E82" s="26" t="e">
        <f>#REF!++#REF!</f>
        <v>#REF!</v>
      </c>
      <c r="F82" s="26" t="e">
        <f>#REF!++#REF!</f>
        <v>#REF!</v>
      </c>
      <c r="H82" s="26" t="e">
        <f>#REF!++#REF!</f>
        <v>#REF!</v>
      </c>
    </row>
    <row r="83" spans="1:8" hidden="1" x14ac:dyDescent="0.3"/>
    <row r="84" spans="1:8" hidden="1" x14ac:dyDescent="0.3">
      <c r="E84" s="26" t="e">
        <f>SUBTOTAL(9,E63:E82)</f>
        <v>#REF!</v>
      </c>
      <c r="F84" s="26" t="e">
        <f>SUBTOTAL(9,F63:F82)</f>
        <v>#REF!</v>
      </c>
      <c r="H84" s="26" t="e">
        <f>SUBTOTAL(9,H63:H82)</f>
        <v>#REF!</v>
      </c>
    </row>
    <row r="85" spans="1:8" hidden="1" x14ac:dyDescent="0.3">
      <c r="E85" s="26" t="e">
        <f>E84-E57</f>
        <v>#REF!</v>
      </c>
      <c r="F85" s="26" t="e">
        <f>F84-F57</f>
        <v>#REF!</v>
      </c>
      <c r="H85" s="26" t="e">
        <f>H84-H57</f>
        <v>#REF!</v>
      </c>
    </row>
    <row r="86" spans="1:8" hidden="1" x14ac:dyDescent="0.3"/>
    <row r="87" spans="1:8" hidden="1" x14ac:dyDescent="0.3"/>
    <row r="88" spans="1:8" hidden="1" x14ac:dyDescent="0.3"/>
    <row r="89" spans="1:8" hidden="1" x14ac:dyDescent="0.3"/>
    <row r="90" spans="1:8" hidden="1" x14ac:dyDescent="0.3">
      <c r="E90" s="26">
        <v>300814</v>
      </c>
      <c r="F90" s="26">
        <v>513222.79999999993</v>
      </c>
    </row>
    <row r="91" spans="1:8" hidden="1" x14ac:dyDescent="0.3">
      <c r="E91" s="26">
        <f>E50-E90</f>
        <v>-27763.5</v>
      </c>
      <c r="F91" s="26">
        <f>F50-F90</f>
        <v>190002.79999999993</v>
      </c>
    </row>
    <row r="92" spans="1:8" hidden="1" x14ac:dyDescent="0.3"/>
    <row r="93" spans="1:8" hidden="1" x14ac:dyDescent="0.3"/>
    <row r="96" spans="1:8" x14ac:dyDescent="0.3">
      <c r="A96" s="203" t="s">
        <v>219</v>
      </c>
      <c r="B96" s="203"/>
      <c r="C96" s="203"/>
      <c r="D96" s="203"/>
      <c r="E96" s="203"/>
      <c r="F96" s="203"/>
      <c r="G96" s="203"/>
      <c r="H96" s="203"/>
    </row>
    <row r="97" spans="1:8" ht="58.5" customHeight="1" x14ac:dyDescent="0.3">
      <c r="A97" s="203" t="s">
        <v>227</v>
      </c>
      <c r="B97" s="203"/>
      <c r="C97" s="203"/>
      <c r="D97" s="203"/>
      <c r="E97" s="203"/>
      <c r="F97" s="203"/>
      <c r="G97" s="203"/>
      <c r="H97" s="203"/>
    </row>
    <row r="98" spans="1:8" ht="53.25" customHeight="1" x14ac:dyDescent="0.3">
      <c r="A98" s="33" t="s">
        <v>1</v>
      </c>
      <c r="B98" s="33"/>
      <c r="C98" s="33" t="s">
        <v>85</v>
      </c>
      <c r="D98" s="33" t="s">
        <v>122</v>
      </c>
      <c r="E98" s="51" t="s">
        <v>315</v>
      </c>
      <c r="F98" s="51" t="s">
        <v>335</v>
      </c>
      <c r="G98" s="51" t="s">
        <v>336</v>
      </c>
      <c r="H98" s="51" t="s">
        <v>196</v>
      </c>
    </row>
    <row r="99" spans="1:8" ht="58.5" hidden="1" x14ac:dyDescent="0.3">
      <c r="A99" s="6" t="s">
        <v>248</v>
      </c>
      <c r="B99" s="6"/>
      <c r="C99" s="68"/>
      <c r="D99" s="65"/>
      <c r="E99" s="7">
        <v>16212.8</v>
      </c>
      <c r="F99" s="80"/>
      <c r="G99" s="80"/>
      <c r="H99" s="77">
        <f>G99-F99</f>
        <v>0</v>
      </c>
    </row>
    <row r="100" spans="1:8" ht="71.25" hidden="1" customHeight="1" x14ac:dyDescent="0.3">
      <c r="A100" s="6" t="s">
        <v>249</v>
      </c>
      <c r="B100" s="6"/>
      <c r="C100" s="68"/>
      <c r="D100" s="65"/>
      <c r="E100" s="7">
        <v>15936.3</v>
      </c>
      <c r="F100" s="80"/>
      <c r="G100" s="80"/>
      <c r="H100" s="77">
        <f t="shared" ref="H100:H105" si="2">G100-F100</f>
        <v>0</v>
      </c>
    </row>
    <row r="101" spans="1:8" ht="65.25" hidden="1" customHeight="1" x14ac:dyDescent="0.3">
      <c r="A101" s="6" t="s">
        <v>252</v>
      </c>
      <c r="B101" s="6"/>
      <c r="C101" s="68"/>
      <c r="D101" s="65"/>
      <c r="E101" s="80">
        <v>1096.0999999999999</v>
      </c>
      <c r="F101" s="80"/>
      <c r="G101" s="80"/>
      <c r="H101" s="77">
        <f t="shared" si="2"/>
        <v>0</v>
      </c>
    </row>
    <row r="102" spans="1:8" ht="81" hidden="1" customHeight="1" x14ac:dyDescent="0.3">
      <c r="A102" s="6" t="s">
        <v>253</v>
      </c>
      <c r="B102" s="6"/>
      <c r="C102" s="68"/>
      <c r="D102" s="65"/>
      <c r="E102" s="80">
        <v>4076.4</v>
      </c>
      <c r="F102" s="80"/>
      <c r="G102" s="80"/>
      <c r="H102" s="77">
        <f t="shared" si="2"/>
        <v>0</v>
      </c>
    </row>
    <row r="103" spans="1:8" ht="81" customHeight="1" x14ac:dyDescent="0.3">
      <c r="A103" s="6" t="s">
        <v>302</v>
      </c>
      <c r="B103" s="6"/>
      <c r="C103" s="68"/>
      <c r="D103" s="65"/>
      <c r="E103" s="80"/>
      <c r="F103" s="80">
        <v>7353.5</v>
      </c>
      <c r="G103" s="80">
        <v>7353.5</v>
      </c>
      <c r="H103" s="77">
        <f t="shared" si="2"/>
        <v>0</v>
      </c>
    </row>
    <row r="104" spans="1:8" ht="81" customHeight="1" x14ac:dyDescent="0.3">
      <c r="A104" s="6" t="s">
        <v>303</v>
      </c>
      <c r="B104" s="6"/>
      <c r="C104" s="68"/>
      <c r="D104" s="65"/>
      <c r="E104" s="80"/>
      <c r="F104" s="80">
        <v>120.5</v>
      </c>
      <c r="G104" s="80">
        <v>120.5</v>
      </c>
      <c r="H104" s="77">
        <f t="shared" si="2"/>
        <v>0</v>
      </c>
    </row>
    <row r="105" spans="1:8" ht="81" customHeight="1" x14ac:dyDescent="0.3">
      <c r="A105" s="6" t="s">
        <v>285</v>
      </c>
      <c r="B105" s="6"/>
      <c r="C105" s="68"/>
      <c r="D105" s="65"/>
      <c r="E105" s="80"/>
      <c r="F105" s="80">
        <v>25912.2</v>
      </c>
      <c r="G105" s="80">
        <f>29881-3968.8+2590.1</f>
        <v>28502.3</v>
      </c>
      <c r="H105" s="77">
        <f t="shared" si="2"/>
        <v>2590.0999999999985</v>
      </c>
    </row>
    <row r="106" spans="1:8" s="82" customFormat="1" ht="48.75" customHeight="1" x14ac:dyDescent="0.3">
      <c r="A106" s="33" t="s">
        <v>4</v>
      </c>
      <c r="B106" s="33"/>
      <c r="C106" s="63"/>
      <c r="D106" s="63"/>
      <c r="E106" s="81">
        <f>SUM(E99:E105)</f>
        <v>37321.599999999999</v>
      </c>
      <c r="F106" s="81">
        <f>SUM(F99:F105)</f>
        <v>33386.199999999997</v>
      </c>
      <c r="G106" s="81">
        <f>SUM(G99:G105)</f>
        <v>35976.300000000003</v>
      </c>
      <c r="H106" s="81">
        <f>SUM(H99:H105)</f>
        <v>2590.0999999999985</v>
      </c>
    </row>
    <row r="107" spans="1:8" x14ac:dyDescent="0.3">
      <c r="A107" s="181"/>
      <c r="B107" s="181"/>
      <c r="D107" s="61"/>
      <c r="E107" s="182"/>
      <c r="F107" s="182"/>
      <c r="G107" s="182"/>
      <c r="H107" s="182"/>
    </row>
    <row r="108" spans="1:8" x14ac:dyDescent="0.3">
      <c r="A108" s="181"/>
      <c r="B108" s="181"/>
      <c r="D108" s="61"/>
      <c r="E108" s="182"/>
      <c r="F108" s="182"/>
      <c r="G108" s="182"/>
      <c r="H108" s="182"/>
    </row>
    <row r="109" spans="1:8" x14ac:dyDescent="0.3">
      <c r="A109" s="181"/>
      <c r="B109" s="181"/>
      <c r="D109" s="61"/>
      <c r="E109" s="182"/>
      <c r="F109" s="182"/>
      <c r="G109" s="182"/>
      <c r="H109" s="182"/>
    </row>
    <row r="110" spans="1:8" x14ac:dyDescent="0.3">
      <c r="A110" s="181"/>
      <c r="B110" s="181"/>
      <c r="D110" s="61"/>
      <c r="E110" s="182"/>
      <c r="F110" s="182"/>
      <c r="G110" s="182"/>
      <c r="H110" s="182"/>
    </row>
    <row r="111" spans="1:8" x14ac:dyDescent="0.3">
      <c r="A111" s="181"/>
      <c r="B111" s="181"/>
      <c r="D111" s="61"/>
      <c r="E111" s="182"/>
      <c r="F111" s="182"/>
      <c r="G111" s="182"/>
      <c r="H111" s="182"/>
    </row>
    <row r="112" spans="1:8" x14ac:dyDescent="0.3">
      <c r="A112" s="181"/>
      <c r="B112" s="181"/>
      <c r="D112" s="61"/>
      <c r="E112" s="182"/>
      <c r="F112" s="182"/>
      <c r="G112" s="182"/>
      <c r="H112" s="182"/>
    </row>
    <row r="113" spans="4:8" x14ac:dyDescent="0.3">
      <c r="D113" s="61"/>
      <c r="E113" s="182"/>
      <c r="F113" s="182"/>
      <c r="G113" s="182"/>
      <c r="H113" s="182"/>
    </row>
  </sheetData>
  <autoFilter ref="A5:H52"/>
  <mergeCells count="5">
    <mergeCell ref="A1:H1"/>
    <mergeCell ref="A4:H4"/>
    <mergeCell ref="A2:H2"/>
    <mergeCell ref="A97:H97"/>
    <mergeCell ref="A96:H96"/>
  </mergeCells>
  <printOptions horizontalCentered="1"/>
  <pageMargins left="0" right="0" top="0" bottom="0" header="0.31496062992125984" footer="0.31496062992125984"/>
  <pageSetup paperSize="9" scale="64" fitToHeight="0" orientation="portrait" r:id="rId1"/>
  <rowBreaks count="1" manualBreakCount="1">
    <brk id="9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view="pageBreakPreview" topLeftCell="A25" zoomScale="60" zoomScaleNormal="80" workbookViewId="0">
      <selection activeCell="K41" sqref="K41:K43"/>
    </sheetView>
  </sheetViews>
  <sheetFormatPr defaultRowHeight="19.5" x14ac:dyDescent="0.3"/>
  <cols>
    <col min="1" max="1" width="75.7109375" style="31" customWidth="1"/>
    <col min="2" max="2" width="20.5703125" style="31" hidden="1" customWidth="1"/>
    <col min="3" max="3" width="12.28515625" style="61" hidden="1" customWidth="1"/>
    <col min="4" max="4" width="10.5703125" style="61" hidden="1" customWidth="1"/>
    <col min="5" max="5" width="24.28515625" style="26" hidden="1" customWidth="1"/>
    <col min="6" max="8" width="18.7109375" style="26" customWidth="1"/>
    <col min="9" max="9" width="13.42578125" style="31" customWidth="1"/>
    <col min="10" max="10" width="27.85546875" style="26" hidden="1" customWidth="1"/>
    <col min="11" max="12" width="20.7109375" style="26" customWidth="1"/>
    <col min="13" max="13" width="18.7109375" style="26" customWidth="1"/>
    <col min="14" max="34" width="13.42578125" style="31" customWidth="1"/>
    <col min="35" max="16384" width="9.140625" style="31"/>
  </cols>
  <sheetData>
    <row r="1" spans="1:14" x14ac:dyDescent="0.3">
      <c r="A1" s="200" t="s">
        <v>64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s="50" customFormat="1" ht="49.5" customHeight="1" x14ac:dyDescent="0.25">
      <c r="A2" s="202" t="s">
        <v>240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76"/>
    </row>
    <row r="3" spans="1:14" s="27" customFormat="1" x14ac:dyDescent="0.25">
      <c r="A3" s="2"/>
      <c r="B3" s="2"/>
      <c r="C3" s="62"/>
      <c r="D3" s="62"/>
    </row>
    <row r="4" spans="1:14" s="50" customFormat="1" ht="20.25" x14ac:dyDescent="0.25">
      <c r="A4" s="201" t="s">
        <v>0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76"/>
    </row>
    <row r="5" spans="1:14" s="12" customFormat="1" ht="132.75" customHeight="1" x14ac:dyDescent="0.3">
      <c r="A5" s="33" t="s">
        <v>1</v>
      </c>
      <c r="B5" s="33"/>
      <c r="C5" s="63" t="s">
        <v>85</v>
      </c>
      <c r="D5" s="63" t="s">
        <v>122</v>
      </c>
      <c r="E5" s="51" t="s">
        <v>317</v>
      </c>
      <c r="F5" s="51" t="s">
        <v>341</v>
      </c>
      <c r="G5" s="51" t="s">
        <v>345</v>
      </c>
      <c r="H5" s="51" t="s">
        <v>196</v>
      </c>
      <c r="J5" s="51" t="s">
        <v>319</v>
      </c>
      <c r="K5" s="51" t="s">
        <v>342</v>
      </c>
      <c r="L5" s="51" t="s">
        <v>346</v>
      </c>
      <c r="M5" s="51" t="s">
        <v>196</v>
      </c>
    </row>
    <row r="6" spans="1:14" ht="58.5" x14ac:dyDescent="0.3">
      <c r="A6" s="6" t="s">
        <v>7</v>
      </c>
      <c r="B6" s="6" t="s">
        <v>238</v>
      </c>
      <c r="C6" s="65">
        <v>914</v>
      </c>
      <c r="D6" s="65" t="s">
        <v>136</v>
      </c>
      <c r="E6" s="7">
        <v>107.1</v>
      </c>
      <c r="F6" s="7">
        <v>106.6</v>
      </c>
      <c r="G6" s="7">
        <v>106.6</v>
      </c>
      <c r="H6" s="77">
        <f>G6-F6</f>
        <v>0</v>
      </c>
      <c r="J6" s="7">
        <v>110.9</v>
      </c>
      <c r="K6" s="7">
        <v>110.3</v>
      </c>
      <c r="L6" s="7">
        <v>110.3</v>
      </c>
      <c r="M6" s="77">
        <f>L6-K6</f>
        <v>0</v>
      </c>
    </row>
    <row r="7" spans="1:14" ht="58.5" x14ac:dyDescent="0.3">
      <c r="A7" s="6" t="s">
        <v>2</v>
      </c>
      <c r="B7" s="6" t="s">
        <v>238</v>
      </c>
      <c r="C7" s="65">
        <v>914</v>
      </c>
      <c r="D7" s="65" t="s">
        <v>136</v>
      </c>
      <c r="E7" s="7">
        <v>198.8</v>
      </c>
      <c r="F7" s="7">
        <v>197.7</v>
      </c>
      <c r="G7" s="7">
        <v>197.7</v>
      </c>
      <c r="H7" s="77">
        <f t="shared" ref="H7:H59" si="0">G7-F7</f>
        <v>0</v>
      </c>
      <c r="J7" s="7">
        <v>206.8</v>
      </c>
      <c r="K7" s="7">
        <v>205.6</v>
      </c>
      <c r="L7" s="7">
        <v>205.6</v>
      </c>
      <c r="M7" s="77">
        <f t="shared" ref="M7:M59" si="1">L7-K7</f>
        <v>0</v>
      </c>
    </row>
    <row r="8" spans="1:14" ht="98.25" customHeight="1" x14ac:dyDescent="0.3">
      <c r="A8" s="6" t="s">
        <v>257</v>
      </c>
      <c r="B8" s="66" t="s">
        <v>228</v>
      </c>
      <c r="C8" s="67">
        <v>906</v>
      </c>
      <c r="D8" s="67" t="s">
        <v>123</v>
      </c>
      <c r="E8" s="7">
        <v>681</v>
      </c>
      <c r="F8" s="7">
        <v>681</v>
      </c>
      <c r="G8" s="7">
        <v>681</v>
      </c>
      <c r="H8" s="77">
        <f t="shared" si="0"/>
        <v>0</v>
      </c>
      <c r="J8" s="7">
        <v>0</v>
      </c>
      <c r="K8" s="7"/>
      <c r="L8" s="7"/>
      <c r="M8" s="77">
        <f t="shared" si="1"/>
        <v>0</v>
      </c>
    </row>
    <row r="9" spans="1:14" ht="47.25" customHeight="1" x14ac:dyDescent="0.3">
      <c r="A9" s="66" t="s">
        <v>3</v>
      </c>
      <c r="B9" s="66" t="s">
        <v>228</v>
      </c>
      <c r="C9" s="67">
        <v>906</v>
      </c>
      <c r="D9" s="67" t="s">
        <v>123</v>
      </c>
      <c r="E9" s="7">
        <v>626.4</v>
      </c>
      <c r="F9" s="7">
        <v>626.4</v>
      </c>
      <c r="G9" s="7">
        <v>626.4</v>
      </c>
      <c r="H9" s="77">
        <f t="shared" si="0"/>
        <v>0</v>
      </c>
      <c r="J9" s="7">
        <v>0</v>
      </c>
      <c r="K9" s="7"/>
      <c r="L9" s="7"/>
      <c r="M9" s="77">
        <f t="shared" si="1"/>
        <v>0</v>
      </c>
    </row>
    <row r="10" spans="1:14" ht="69.75" customHeight="1" x14ac:dyDescent="0.3">
      <c r="A10" s="66" t="s">
        <v>256</v>
      </c>
      <c r="B10" s="66" t="s">
        <v>228</v>
      </c>
      <c r="C10" s="67">
        <v>906</v>
      </c>
      <c r="D10" s="67" t="s">
        <v>123</v>
      </c>
      <c r="E10" s="7">
        <v>328.1</v>
      </c>
      <c r="F10" s="7">
        <v>299.2</v>
      </c>
      <c r="G10" s="7">
        <v>299.2</v>
      </c>
      <c r="H10" s="77">
        <f t="shared" si="0"/>
        <v>0</v>
      </c>
      <c r="J10" s="7">
        <v>0</v>
      </c>
      <c r="K10" s="7">
        <v>299.5</v>
      </c>
      <c r="L10" s="7">
        <v>299.5</v>
      </c>
      <c r="M10" s="77">
        <f t="shared" si="1"/>
        <v>0</v>
      </c>
    </row>
    <row r="11" spans="1:14" ht="103.5" customHeight="1" x14ac:dyDescent="0.3">
      <c r="A11" s="6" t="s">
        <v>229</v>
      </c>
      <c r="B11" s="66" t="s">
        <v>241</v>
      </c>
      <c r="C11" s="79">
        <v>907</v>
      </c>
      <c r="D11" s="79" t="s">
        <v>125</v>
      </c>
      <c r="E11" s="7">
        <v>1352.8</v>
      </c>
      <c r="F11" s="7">
        <v>1352.8</v>
      </c>
      <c r="G11" s="7">
        <v>1352.8</v>
      </c>
      <c r="H11" s="77">
        <f t="shared" si="0"/>
        <v>0</v>
      </c>
      <c r="J11" s="7">
        <v>1352.8</v>
      </c>
      <c r="K11" s="7">
        <v>1352.8</v>
      </c>
      <c r="L11" s="7">
        <v>1352.8</v>
      </c>
      <c r="M11" s="77">
        <f t="shared" si="1"/>
        <v>0</v>
      </c>
    </row>
    <row r="12" spans="1:14" ht="78" x14ac:dyDescent="0.3">
      <c r="A12" s="55" t="s">
        <v>113</v>
      </c>
      <c r="B12" s="66" t="s">
        <v>241</v>
      </c>
      <c r="C12" s="79">
        <v>907</v>
      </c>
      <c r="D12" s="79" t="s">
        <v>125</v>
      </c>
      <c r="E12" s="7">
        <v>32355.9</v>
      </c>
      <c r="F12" s="7">
        <v>34298.9</v>
      </c>
      <c r="G12" s="7">
        <v>34298.9</v>
      </c>
      <c r="H12" s="77">
        <f t="shared" si="0"/>
        <v>0</v>
      </c>
      <c r="J12" s="7">
        <v>5500.5</v>
      </c>
      <c r="K12" s="7">
        <v>35104.400000000001</v>
      </c>
      <c r="L12" s="7">
        <v>35104.400000000001</v>
      </c>
      <c r="M12" s="77">
        <f t="shared" si="1"/>
        <v>0</v>
      </c>
    </row>
    <row r="13" spans="1:14" ht="97.5" customHeight="1" x14ac:dyDescent="0.3">
      <c r="A13" s="55" t="s">
        <v>304</v>
      </c>
      <c r="B13" s="66"/>
      <c r="C13" s="79">
        <v>907</v>
      </c>
      <c r="D13" s="79" t="s">
        <v>125</v>
      </c>
      <c r="E13" s="7"/>
      <c r="F13" s="7">
        <v>67620.5</v>
      </c>
      <c r="G13" s="7">
        <v>67620.5</v>
      </c>
      <c r="H13" s="77">
        <f t="shared" si="0"/>
        <v>0</v>
      </c>
      <c r="J13" s="7"/>
      <c r="K13" s="7">
        <v>235057.7</v>
      </c>
      <c r="L13" s="7">
        <v>235057.7</v>
      </c>
      <c r="M13" s="77">
        <f t="shared" si="1"/>
        <v>0</v>
      </c>
    </row>
    <row r="14" spans="1:14" ht="51.75" customHeight="1" x14ac:dyDescent="0.3">
      <c r="A14" s="55" t="s">
        <v>305</v>
      </c>
      <c r="B14" s="66"/>
      <c r="C14" s="79">
        <v>907</v>
      </c>
      <c r="D14" s="79" t="s">
        <v>125</v>
      </c>
      <c r="E14" s="7"/>
      <c r="F14" s="7"/>
      <c r="G14" s="7"/>
      <c r="H14" s="77">
        <f t="shared" si="0"/>
        <v>0</v>
      </c>
      <c r="J14" s="7"/>
      <c r="K14" s="7">
        <v>10000</v>
      </c>
      <c r="L14" s="7">
        <v>10000</v>
      </c>
      <c r="M14" s="77">
        <f t="shared" si="1"/>
        <v>0</v>
      </c>
    </row>
    <row r="15" spans="1:14" ht="78" x14ac:dyDescent="0.3">
      <c r="A15" s="6" t="s">
        <v>296</v>
      </c>
      <c r="B15" s="66"/>
      <c r="C15" s="79">
        <v>907</v>
      </c>
      <c r="D15" s="79" t="s">
        <v>125</v>
      </c>
      <c r="E15" s="7"/>
      <c r="F15" s="7">
        <v>5026.8999999999996</v>
      </c>
      <c r="G15" s="7">
        <v>5026.8999999999996</v>
      </c>
      <c r="H15" s="77">
        <f t="shared" si="0"/>
        <v>0</v>
      </c>
      <c r="J15" s="7"/>
      <c r="K15" s="7">
        <v>5026.8999999999996</v>
      </c>
      <c r="L15" s="7">
        <v>5026.8999999999996</v>
      </c>
      <c r="M15" s="77">
        <f t="shared" si="1"/>
        <v>0</v>
      </c>
    </row>
    <row r="16" spans="1:14" ht="81.75" customHeight="1" x14ac:dyDescent="0.3">
      <c r="A16" s="6" t="s">
        <v>312</v>
      </c>
      <c r="B16" s="66"/>
      <c r="C16" s="79">
        <v>907</v>
      </c>
      <c r="D16" s="79" t="s">
        <v>125</v>
      </c>
      <c r="E16" s="7"/>
      <c r="F16" s="7">
        <v>1042.5999999999999</v>
      </c>
      <c r="G16" s="7">
        <v>1042.5999999999999</v>
      </c>
      <c r="H16" s="77">
        <f t="shared" si="0"/>
        <v>0</v>
      </c>
      <c r="J16" s="7"/>
      <c r="K16" s="7"/>
      <c r="L16" s="7"/>
      <c r="M16" s="77">
        <f t="shared" si="1"/>
        <v>0</v>
      </c>
    </row>
    <row r="17" spans="1:13" ht="81.75" customHeight="1" x14ac:dyDescent="0.3">
      <c r="A17" s="6" t="s">
        <v>299</v>
      </c>
      <c r="B17" s="66"/>
      <c r="C17" s="79">
        <v>914</v>
      </c>
      <c r="D17" s="79" t="s">
        <v>311</v>
      </c>
      <c r="E17" s="7"/>
      <c r="F17" s="7">
        <v>156272.20000000001</v>
      </c>
      <c r="G17" s="7">
        <v>156272.20000000001</v>
      </c>
      <c r="H17" s="77">
        <f t="shared" si="0"/>
        <v>0</v>
      </c>
      <c r="J17" s="7"/>
      <c r="K17" s="7"/>
      <c r="L17" s="7"/>
      <c r="M17" s="77">
        <f t="shared" si="1"/>
        <v>0</v>
      </c>
    </row>
    <row r="18" spans="1:13" ht="81.75" customHeight="1" x14ac:dyDescent="0.3">
      <c r="A18" s="6" t="s">
        <v>324</v>
      </c>
      <c r="B18" s="66"/>
      <c r="C18" s="79"/>
      <c r="D18" s="79"/>
      <c r="E18" s="7"/>
      <c r="F18" s="7">
        <v>3709.6</v>
      </c>
      <c r="G18" s="7">
        <v>3709.6</v>
      </c>
      <c r="H18" s="77">
        <f t="shared" si="0"/>
        <v>0</v>
      </c>
      <c r="J18" s="7"/>
      <c r="K18" s="7"/>
      <c r="L18" s="7"/>
      <c r="M18" s="77"/>
    </row>
    <row r="19" spans="1:13" ht="48.75" customHeight="1" x14ac:dyDescent="0.3">
      <c r="A19" s="55" t="s">
        <v>286</v>
      </c>
      <c r="B19" s="66" t="s">
        <v>232</v>
      </c>
      <c r="C19" s="79">
        <v>914</v>
      </c>
      <c r="D19" s="79" t="s">
        <v>132</v>
      </c>
      <c r="E19" s="7">
        <v>2970</v>
      </c>
      <c r="F19" s="7">
        <v>2970</v>
      </c>
      <c r="G19" s="7">
        <v>2970</v>
      </c>
      <c r="H19" s="77">
        <f t="shared" si="0"/>
        <v>0</v>
      </c>
      <c r="J19" s="7"/>
      <c r="K19" s="7"/>
      <c r="L19" s="7"/>
      <c r="M19" s="77">
        <f t="shared" si="1"/>
        <v>0</v>
      </c>
    </row>
    <row r="20" spans="1:13" x14ac:dyDescent="0.3">
      <c r="A20" s="55" t="s">
        <v>287</v>
      </c>
      <c r="B20" s="66" t="s">
        <v>232</v>
      </c>
      <c r="C20" s="79">
        <v>914</v>
      </c>
      <c r="D20" s="79" t="s">
        <v>132</v>
      </c>
      <c r="E20" s="7">
        <v>6138</v>
      </c>
      <c r="F20" s="7">
        <v>6138</v>
      </c>
      <c r="G20" s="7">
        <v>6138</v>
      </c>
      <c r="H20" s="77">
        <f t="shared" si="0"/>
        <v>0</v>
      </c>
      <c r="J20" s="7"/>
      <c r="K20" s="7"/>
      <c r="L20" s="7"/>
      <c r="M20" s="77">
        <f t="shared" si="1"/>
        <v>0</v>
      </c>
    </row>
    <row r="21" spans="1:13" x14ac:dyDescent="0.3">
      <c r="A21" s="55" t="s">
        <v>288</v>
      </c>
      <c r="B21" s="66" t="s">
        <v>232</v>
      </c>
      <c r="C21" s="79">
        <v>914</v>
      </c>
      <c r="D21" s="79" t="s">
        <v>132</v>
      </c>
      <c r="E21" s="7">
        <v>7128</v>
      </c>
      <c r="F21" s="7">
        <v>7128</v>
      </c>
      <c r="G21" s="7">
        <v>7128</v>
      </c>
      <c r="H21" s="77">
        <f t="shared" si="0"/>
        <v>0</v>
      </c>
      <c r="J21" s="7"/>
      <c r="K21" s="7"/>
      <c r="L21" s="7"/>
      <c r="M21" s="77">
        <f t="shared" si="1"/>
        <v>0</v>
      </c>
    </row>
    <row r="22" spans="1:13" x14ac:dyDescent="0.3">
      <c r="A22" s="55" t="s">
        <v>289</v>
      </c>
      <c r="B22" s="66" t="s">
        <v>232</v>
      </c>
      <c r="C22" s="79">
        <v>914</v>
      </c>
      <c r="D22" s="79" t="s">
        <v>132</v>
      </c>
      <c r="E22" s="7">
        <v>2178</v>
      </c>
      <c r="F22" s="7">
        <v>2178</v>
      </c>
      <c r="G22" s="7">
        <v>2178</v>
      </c>
      <c r="H22" s="77">
        <f t="shared" si="0"/>
        <v>0</v>
      </c>
      <c r="J22" s="7"/>
      <c r="K22" s="7"/>
      <c r="L22" s="7"/>
      <c r="M22" s="77">
        <f t="shared" si="1"/>
        <v>0</v>
      </c>
    </row>
    <row r="23" spans="1:13" x14ac:dyDescent="0.3">
      <c r="A23" s="55" t="s">
        <v>290</v>
      </c>
      <c r="B23" s="66"/>
      <c r="C23" s="79">
        <v>914</v>
      </c>
      <c r="D23" s="79" t="s">
        <v>132</v>
      </c>
      <c r="E23" s="7">
        <v>3465</v>
      </c>
      <c r="F23" s="7">
        <v>3465</v>
      </c>
      <c r="G23" s="7">
        <v>3465</v>
      </c>
      <c r="H23" s="77">
        <f t="shared" si="0"/>
        <v>0</v>
      </c>
      <c r="J23" s="7"/>
      <c r="K23" s="7"/>
      <c r="L23" s="7"/>
      <c r="M23" s="77">
        <f t="shared" si="1"/>
        <v>0</v>
      </c>
    </row>
    <row r="24" spans="1:13" x14ac:dyDescent="0.3">
      <c r="A24" s="55" t="s">
        <v>291</v>
      </c>
      <c r="B24" s="66"/>
      <c r="C24" s="79">
        <v>914</v>
      </c>
      <c r="D24" s="79" t="s">
        <v>132</v>
      </c>
      <c r="E24" s="7">
        <v>5544</v>
      </c>
      <c r="F24" s="7">
        <v>5544</v>
      </c>
      <c r="G24" s="7">
        <v>5544</v>
      </c>
      <c r="H24" s="77">
        <f t="shared" si="0"/>
        <v>0</v>
      </c>
      <c r="J24" s="7"/>
      <c r="K24" s="7"/>
      <c r="L24" s="7"/>
      <c r="M24" s="77">
        <f t="shared" si="1"/>
        <v>0</v>
      </c>
    </row>
    <row r="25" spans="1:13" ht="58.5" x14ac:dyDescent="0.3">
      <c r="A25" s="55" t="s">
        <v>284</v>
      </c>
      <c r="B25" s="66"/>
      <c r="C25" s="79">
        <v>914</v>
      </c>
      <c r="D25" s="79" t="s">
        <v>132</v>
      </c>
      <c r="E25" s="7">
        <v>20295</v>
      </c>
      <c r="F25" s="7">
        <v>20295</v>
      </c>
      <c r="G25" s="7">
        <v>20295</v>
      </c>
      <c r="H25" s="77">
        <f t="shared" si="0"/>
        <v>0</v>
      </c>
      <c r="J25" s="7"/>
      <c r="K25" s="7"/>
      <c r="L25" s="7"/>
      <c r="M25" s="77">
        <f t="shared" si="1"/>
        <v>0</v>
      </c>
    </row>
    <row r="26" spans="1:13" s="103" customFormat="1" ht="41.25" hidden="1" customHeight="1" x14ac:dyDescent="0.3">
      <c r="A26" s="55" t="s">
        <v>259</v>
      </c>
      <c r="B26" s="66" t="s">
        <v>232</v>
      </c>
      <c r="C26" s="79">
        <v>914</v>
      </c>
      <c r="D26" s="79" t="s">
        <v>132</v>
      </c>
      <c r="E26" s="102"/>
      <c r="F26" s="102"/>
      <c r="G26" s="102"/>
      <c r="H26" s="77">
        <f t="shared" si="0"/>
        <v>0</v>
      </c>
      <c r="J26" s="7">
        <v>10695.9</v>
      </c>
      <c r="K26" s="102"/>
      <c r="L26" s="102"/>
      <c r="M26" s="77">
        <f t="shared" si="1"/>
        <v>0</v>
      </c>
    </row>
    <row r="27" spans="1:13" s="103" customFormat="1" ht="41.25" hidden="1" customHeight="1" x14ac:dyDescent="0.3">
      <c r="A27" s="55" t="s">
        <v>260</v>
      </c>
      <c r="B27" s="66" t="s">
        <v>232</v>
      </c>
      <c r="C27" s="79">
        <v>914</v>
      </c>
      <c r="D27" s="79" t="s">
        <v>132</v>
      </c>
      <c r="E27" s="102"/>
      <c r="F27" s="102"/>
      <c r="G27" s="102"/>
      <c r="H27" s="77">
        <f t="shared" si="0"/>
        <v>0</v>
      </c>
      <c r="J27" s="7">
        <v>6938.5</v>
      </c>
      <c r="K27" s="102"/>
      <c r="L27" s="102"/>
      <c r="M27" s="77">
        <f t="shared" si="1"/>
        <v>0</v>
      </c>
    </row>
    <row r="28" spans="1:13" s="103" customFormat="1" ht="55.5" hidden="1" customHeight="1" x14ac:dyDescent="0.3">
      <c r="A28" s="55" t="s">
        <v>261</v>
      </c>
      <c r="B28" s="66" t="s">
        <v>232</v>
      </c>
      <c r="C28" s="79">
        <v>914</v>
      </c>
      <c r="D28" s="79" t="s">
        <v>132</v>
      </c>
      <c r="E28" s="102"/>
      <c r="F28" s="102"/>
      <c r="G28" s="102"/>
      <c r="H28" s="77">
        <f t="shared" si="0"/>
        <v>0</v>
      </c>
      <c r="J28" s="7">
        <v>2249.1999999999998</v>
      </c>
      <c r="K28" s="102"/>
      <c r="L28" s="102"/>
      <c r="M28" s="77">
        <f t="shared" si="1"/>
        <v>0</v>
      </c>
    </row>
    <row r="29" spans="1:13" s="103" customFormat="1" ht="56.25" hidden="1" customHeight="1" x14ac:dyDescent="0.3">
      <c r="A29" s="55" t="s">
        <v>262</v>
      </c>
      <c r="B29" s="66" t="s">
        <v>232</v>
      </c>
      <c r="C29" s="79">
        <v>914</v>
      </c>
      <c r="D29" s="79" t="s">
        <v>132</v>
      </c>
      <c r="E29" s="102"/>
      <c r="F29" s="102"/>
      <c r="G29" s="102"/>
      <c r="H29" s="77">
        <f t="shared" si="0"/>
        <v>0</v>
      </c>
      <c r="J29" s="7">
        <v>2313.5</v>
      </c>
      <c r="K29" s="102"/>
      <c r="L29" s="102"/>
      <c r="M29" s="77">
        <f t="shared" si="1"/>
        <v>0</v>
      </c>
    </row>
    <row r="30" spans="1:13" s="103" customFormat="1" ht="45.75" hidden="1" customHeight="1" x14ac:dyDescent="0.3">
      <c r="A30" s="55" t="s">
        <v>265</v>
      </c>
      <c r="B30" s="66" t="s">
        <v>232</v>
      </c>
      <c r="C30" s="79">
        <v>914</v>
      </c>
      <c r="D30" s="79" t="s">
        <v>132</v>
      </c>
      <c r="E30" s="102"/>
      <c r="F30" s="102"/>
      <c r="G30" s="102"/>
      <c r="H30" s="77">
        <f t="shared" si="0"/>
        <v>0</v>
      </c>
      <c r="J30" s="7">
        <v>4010</v>
      </c>
      <c r="K30" s="102"/>
      <c r="L30" s="102"/>
      <c r="M30" s="77">
        <f t="shared" si="1"/>
        <v>0</v>
      </c>
    </row>
    <row r="31" spans="1:13" s="103" customFormat="1" ht="57" hidden="1" customHeight="1" x14ac:dyDescent="0.3">
      <c r="A31" s="55" t="s">
        <v>263</v>
      </c>
      <c r="B31" s="66" t="s">
        <v>232</v>
      </c>
      <c r="C31" s="79">
        <v>914</v>
      </c>
      <c r="D31" s="79" t="s">
        <v>132</v>
      </c>
      <c r="E31" s="102"/>
      <c r="F31" s="102"/>
      <c r="G31" s="102"/>
      <c r="H31" s="77">
        <f t="shared" si="0"/>
        <v>0</v>
      </c>
      <c r="J31" s="7">
        <v>24897.5</v>
      </c>
      <c r="K31" s="102"/>
      <c r="L31" s="102"/>
      <c r="M31" s="77">
        <f t="shared" si="1"/>
        <v>0</v>
      </c>
    </row>
    <row r="32" spans="1:13" s="103" customFormat="1" ht="59.25" hidden="1" customHeight="1" x14ac:dyDescent="0.3">
      <c r="A32" s="55" t="s">
        <v>264</v>
      </c>
      <c r="B32" s="66" t="s">
        <v>232</v>
      </c>
      <c r="C32" s="79">
        <v>914</v>
      </c>
      <c r="D32" s="79" t="s">
        <v>132</v>
      </c>
      <c r="E32" s="102"/>
      <c r="F32" s="102"/>
      <c r="G32" s="102"/>
      <c r="H32" s="77">
        <f t="shared" si="0"/>
        <v>0</v>
      </c>
      <c r="J32" s="7">
        <v>12455.8</v>
      </c>
      <c r="K32" s="102"/>
      <c r="L32" s="102"/>
      <c r="M32" s="77">
        <f t="shared" si="1"/>
        <v>0</v>
      </c>
    </row>
    <row r="33" spans="1:13" s="103" customFormat="1" ht="58.5" hidden="1" customHeight="1" x14ac:dyDescent="0.3">
      <c r="A33" s="55" t="s">
        <v>266</v>
      </c>
      <c r="B33" s="66" t="s">
        <v>232</v>
      </c>
      <c r="C33" s="79">
        <v>914</v>
      </c>
      <c r="D33" s="79" t="s">
        <v>132</v>
      </c>
      <c r="E33" s="102"/>
      <c r="F33" s="102"/>
      <c r="G33" s="102"/>
      <c r="H33" s="77">
        <f t="shared" si="0"/>
        <v>0</v>
      </c>
      <c r="J33" s="7">
        <v>1409.6</v>
      </c>
      <c r="K33" s="102"/>
      <c r="L33" s="102"/>
      <c r="M33" s="77">
        <f t="shared" si="1"/>
        <v>0</v>
      </c>
    </row>
    <row r="34" spans="1:13" s="103" customFormat="1" ht="55.5" customHeight="1" x14ac:dyDescent="0.3">
      <c r="A34" s="111" t="s">
        <v>267</v>
      </c>
      <c r="B34" s="112" t="s">
        <v>232</v>
      </c>
      <c r="C34" s="113">
        <v>914</v>
      </c>
      <c r="D34" s="113" t="s">
        <v>132</v>
      </c>
      <c r="E34" s="114"/>
      <c r="F34" s="114"/>
      <c r="G34" s="114"/>
      <c r="H34" s="77">
        <f t="shared" si="0"/>
        <v>0</v>
      </c>
      <c r="I34" s="115"/>
      <c r="J34" s="105">
        <v>7780</v>
      </c>
      <c r="K34" s="105">
        <v>10618.6</v>
      </c>
      <c r="L34" s="105">
        <v>10618.6</v>
      </c>
      <c r="M34" s="77">
        <f t="shared" si="1"/>
        <v>0</v>
      </c>
    </row>
    <row r="35" spans="1:13" s="103" customFormat="1" ht="72" customHeight="1" x14ac:dyDescent="0.3">
      <c r="A35" s="111" t="s">
        <v>268</v>
      </c>
      <c r="B35" s="112" t="s">
        <v>232</v>
      </c>
      <c r="C35" s="113">
        <v>914</v>
      </c>
      <c r="D35" s="113" t="s">
        <v>132</v>
      </c>
      <c r="E35" s="114"/>
      <c r="F35" s="114"/>
      <c r="G35" s="114"/>
      <c r="H35" s="77">
        <f t="shared" si="0"/>
        <v>0</v>
      </c>
      <c r="I35" s="115"/>
      <c r="J35" s="105">
        <v>4798.7</v>
      </c>
      <c r="K35" s="105">
        <v>6554.5</v>
      </c>
      <c r="L35" s="105">
        <v>6554.5</v>
      </c>
      <c r="M35" s="77">
        <f t="shared" si="1"/>
        <v>0</v>
      </c>
    </row>
    <row r="36" spans="1:13" s="103" customFormat="1" ht="59.25" customHeight="1" x14ac:dyDescent="0.3">
      <c r="A36" s="111" t="s">
        <v>269</v>
      </c>
      <c r="B36" s="112" t="s">
        <v>232</v>
      </c>
      <c r="C36" s="113">
        <v>914</v>
      </c>
      <c r="D36" s="113" t="s">
        <v>132</v>
      </c>
      <c r="E36" s="114"/>
      <c r="F36" s="114"/>
      <c r="G36" s="114"/>
      <c r="H36" s="77">
        <f t="shared" si="0"/>
        <v>0</v>
      </c>
      <c r="I36" s="115"/>
      <c r="J36" s="105">
        <v>25644.3</v>
      </c>
      <c r="K36" s="105">
        <v>27820.400000000001</v>
      </c>
      <c r="L36" s="105">
        <v>27820.400000000001</v>
      </c>
      <c r="M36" s="77">
        <f t="shared" si="1"/>
        <v>0</v>
      </c>
    </row>
    <row r="37" spans="1:13" s="103" customFormat="1" ht="60" customHeight="1" x14ac:dyDescent="0.3">
      <c r="A37" s="111" t="s">
        <v>270</v>
      </c>
      <c r="B37" s="112" t="s">
        <v>232</v>
      </c>
      <c r="C37" s="113">
        <v>914</v>
      </c>
      <c r="D37" s="113" t="s">
        <v>132</v>
      </c>
      <c r="E37" s="114"/>
      <c r="F37" s="114"/>
      <c r="G37" s="114"/>
      <c r="H37" s="77">
        <f t="shared" si="0"/>
        <v>0</v>
      </c>
      <c r="I37" s="115"/>
      <c r="J37" s="105">
        <v>6658.9</v>
      </c>
      <c r="K37" s="105">
        <v>7207.8</v>
      </c>
      <c r="L37" s="105">
        <v>7207.8</v>
      </c>
      <c r="M37" s="77">
        <f t="shared" si="1"/>
        <v>0</v>
      </c>
    </row>
    <row r="38" spans="1:13" s="103" customFormat="1" ht="52.5" hidden="1" customHeight="1" x14ac:dyDescent="0.3">
      <c r="A38" s="111" t="s">
        <v>271</v>
      </c>
      <c r="B38" s="112" t="s">
        <v>232</v>
      </c>
      <c r="C38" s="113">
        <v>914</v>
      </c>
      <c r="D38" s="113" t="s">
        <v>132</v>
      </c>
      <c r="E38" s="114"/>
      <c r="F38" s="114"/>
      <c r="G38" s="114"/>
      <c r="H38" s="77">
        <f t="shared" si="0"/>
        <v>0</v>
      </c>
      <c r="I38" s="115"/>
      <c r="J38" s="105">
        <v>4048.7</v>
      </c>
      <c r="K38" s="114"/>
      <c r="L38" s="114"/>
      <c r="M38" s="77">
        <f t="shared" si="1"/>
        <v>0</v>
      </c>
    </row>
    <row r="39" spans="1:13" s="103" customFormat="1" ht="51.75" hidden="1" customHeight="1" x14ac:dyDescent="0.3">
      <c r="A39" s="111" t="s">
        <v>272</v>
      </c>
      <c r="B39" s="112" t="s">
        <v>232</v>
      </c>
      <c r="C39" s="113">
        <v>914</v>
      </c>
      <c r="D39" s="113" t="s">
        <v>132</v>
      </c>
      <c r="E39" s="114"/>
      <c r="F39" s="114"/>
      <c r="G39" s="114"/>
      <c r="H39" s="77">
        <f t="shared" si="0"/>
        <v>0</v>
      </c>
      <c r="I39" s="115"/>
      <c r="J39" s="105">
        <v>2232.1</v>
      </c>
      <c r="K39" s="114"/>
      <c r="L39" s="114"/>
      <c r="M39" s="77">
        <f t="shared" si="1"/>
        <v>0</v>
      </c>
    </row>
    <row r="40" spans="1:13" s="103" customFormat="1" ht="52.5" hidden="1" customHeight="1" x14ac:dyDescent="0.3">
      <c r="A40" s="111" t="s">
        <v>273</v>
      </c>
      <c r="B40" s="112" t="s">
        <v>232</v>
      </c>
      <c r="C40" s="113">
        <v>914</v>
      </c>
      <c r="D40" s="113" t="s">
        <v>132</v>
      </c>
      <c r="E40" s="114"/>
      <c r="F40" s="114"/>
      <c r="G40" s="114"/>
      <c r="H40" s="77">
        <f t="shared" si="0"/>
        <v>0</v>
      </c>
      <c r="I40" s="115"/>
      <c r="J40" s="105">
        <v>2244.1</v>
      </c>
      <c r="K40" s="114"/>
      <c r="L40" s="114"/>
      <c r="M40" s="77">
        <f t="shared" si="1"/>
        <v>0</v>
      </c>
    </row>
    <row r="41" spans="1:13" s="103" customFormat="1" ht="41.25" customHeight="1" x14ac:dyDescent="0.3">
      <c r="A41" s="111" t="s">
        <v>274</v>
      </c>
      <c r="B41" s="112" t="s">
        <v>232</v>
      </c>
      <c r="C41" s="113">
        <v>914</v>
      </c>
      <c r="D41" s="113" t="s">
        <v>132</v>
      </c>
      <c r="E41" s="114"/>
      <c r="F41" s="114"/>
      <c r="G41" s="114"/>
      <c r="H41" s="77">
        <f t="shared" si="0"/>
        <v>0</v>
      </c>
      <c r="I41" s="115"/>
      <c r="J41" s="105">
        <v>15993</v>
      </c>
      <c r="K41" s="105">
        <v>17332.099999999999</v>
      </c>
      <c r="L41" s="105">
        <v>17332.099999999999</v>
      </c>
      <c r="M41" s="77">
        <f t="shared" si="1"/>
        <v>0</v>
      </c>
    </row>
    <row r="42" spans="1:13" s="103" customFormat="1" ht="41.25" customHeight="1" x14ac:dyDescent="0.3">
      <c r="A42" s="111" t="s">
        <v>275</v>
      </c>
      <c r="B42" s="112" t="s">
        <v>232</v>
      </c>
      <c r="C42" s="113">
        <v>914</v>
      </c>
      <c r="D42" s="113" t="s">
        <v>132</v>
      </c>
      <c r="E42" s="114"/>
      <c r="F42" s="114"/>
      <c r="G42" s="114"/>
      <c r="H42" s="77">
        <f t="shared" si="0"/>
        <v>0</v>
      </c>
      <c r="I42" s="115"/>
      <c r="J42" s="105">
        <v>3744.1</v>
      </c>
      <c r="K42" s="105">
        <v>4065.9</v>
      </c>
      <c r="L42" s="105">
        <v>4065.9</v>
      </c>
      <c r="M42" s="77">
        <f t="shared" si="1"/>
        <v>0</v>
      </c>
    </row>
    <row r="43" spans="1:13" s="103" customFormat="1" ht="51" customHeight="1" x14ac:dyDescent="0.3">
      <c r="A43" s="111" t="s">
        <v>276</v>
      </c>
      <c r="B43" s="112" t="s">
        <v>232</v>
      </c>
      <c r="C43" s="113">
        <v>914</v>
      </c>
      <c r="D43" s="113" t="s">
        <v>132</v>
      </c>
      <c r="E43" s="114"/>
      <c r="F43" s="114"/>
      <c r="G43" s="114"/>
      <c r="H43" s="77">
        <f t="shared" si="0"/>
        <v>0</v>
      </c>
      <c r="I43" s="115"/>
      <c r="J43" s="105">
        <v>5672.9</v>
      </c>
      <c r="K43" s="105">
        <v>7388.2</v>
      </c>
      <c r="L43" s="105">
        <v>7388.2</v>
      </c>
      <c r="M43" s="77">
        <f t="shared" si="1"/>
        <v>0</v>
      </c>
    </row>
    <row r="44" spans="1:13" s="103" customFormat="1" ht="48" hidden="1" customHeight="1" x14ac:dyDescent="0.3">
      <c r="A44" s="55" t="s">
        <v>277</v>
      </c>
      <c r="B44" s="66" t="s">
        <v>232</v>
      </c>
      <c r="C44" s="79">
        <v>914</v>
      </c>
      <c r="D44" s="79" t="s">
        <v>132</v>
      </c>
      <c r="E44" s="102"/>
      <c r="F44" s="102"/>
      <c r="G44" s="102"/>
      <c r="H44" s="77">
        <f t="shared" si="0"/>
        <v>0</v>
      </c>
      <c r="J44" s="7">
        <v>33678.300000000003</v>
      </c>
      <c r="K44" s="102"/>
      <c r="L44" s="102"/>
      <c r="M44" s="77">
        <f t="shared" si="1"/>
        <v>0</v>
      </c>
    </row>
    <row r="45" spans="1:13" s="103" customFormat="1" ht="70.5" hidden="1" customHeight="1" x14ac:dyDescent="0.3">
      <c r="A45" s="55" t="s">
        <v>278</v>
      </c>
      <c r="B45" s="66" t="s">
        <v>232</v>
      </c>
      <c r="C45" s="79">
        <v>914</v>
      </c>
      <c r="D45" s="79" t="s">
        <v>132</v>
      </c>
      <c r="E45" s="102"/>
      <c r="F45" s="102"/>
      <c r="G45" s="102"/>
      <c r="H45" s="77">
        <f t="shared" si="0"/>
        <v>0</v>
      </c>
      <c r="J45" s="7">
        <v>1485.6</v>
      </c>
      <c r="K45" s="102"/>
      <c r="L45" s="102"/>
      <c r="M45" s="77">
        <f t="shared" si="1"/>
        <v>0</v>
      </c>
    </row>
    <row r="46" spans="1:13" s="103" customFormat="1" ht="60.75" hidden="1" customHeight="1" x14ac:dyDescent="0.3">
      <c r="A46" s="55" t="s">
        <v>279</v>
      </c>
      <c r="B46" s="66" t="s">
        <v>232</v>
      </c>
      <c r="C46" s="79">
        <v>914</v>
      </c>
      <c r="D46" s="79" t="s">
        <v>132</v>
      </c>
      <c r="E46" s="102"/>
      <c r="F46" s="102"/>
      <c r="G46" s="102"/>
      <c r="H46" s="77">
        <f t="shared" si="0"/>
        <v>0</v>
      </c>
      <c r="J46" s="7">
        <v>2036.8</v>
      </c>
      <c r="K46" s="102"/>
      <c r="L46" s="102"/>
      <c r="M46" s="77">
        <f t="shared" si="1"/>
        <v>0</v>
      </c>
    </row>
    <row r="47" spans="1:13" ht="78" x14ac:dyDescent="0.3">
      <c r="A47" s="6" t="s">
        <v>134</v>
      </c>
      <c r="B47" s="6" t="s">
        <v>233</v>
      </c>
      <c r="C47" s="65">
        <v>914</v>
      </c>
      <c r="D47" s="65" t="s">
        <v>126</v>
      </c>
      <c r="E47" s="7">
        <v>91.5</v>
      </c>
      <c r="F47" s="7">
        <v>91.5</v>
      </c>
      <c r="G47" s="7">
        <v>91.5</v>
      </c>
      <c r="H47" s="77">
        <f t="shared" si="0"/>
        <v>0</v>
      </c>
      <c r="J47" s="7">
        <v>91.5</v>
      </c>
      <c r="K47" s="7">
        <v>91.5</v>
      </c>
      <c r="L47" s="7">
        <v>91.5</v>
      </c>
      <c r="M47" s="77">
        <f t="shared" si="1"/>
        <v>0</v>
      </c>
    </row>
    <row r="48" spans="1:13" ht="78" x14ac:dyDescent="0.3">
      <c r="A48" s="6" t="s">
        <v>218</v>
      </c>
      <c r="B48" s="6" t="s">
        <v>233</v>
      </c>
      <c r="C48" s="65">
        <v>914</v>
      </c>
      <c r="D48" s="65" t="s">
        <v>126</v>
      </c>
      <c r="E48" s="7">
        <v>1499.2</v>
      </c>
      <c r="F48" s="7">
        <v>1499.2</v>
      </c>
      <c r="G48" s="7">
        <v>1499.2</v>
      </c>
      <c r="H48" s="77">
        <f t="shared" si="0"/>
        <v>0</v>
      </c>
      <c r="J48" s="7">
        <v>1499.2</v>
      </c>
      <c r="K48" s="7">
        <v>1499.2</v>
      </c>
      <c r="L48" s="7">
        <v>1499.2</v>
      </c>
      <c r="M48" s="77">
        <f t="shared" si="1"/>
        <v>0</v>
      </c>
    </row>
    <row r="49" spans="1:13" ht="58.5" x14ac:dyDescent="0.3">
      <c r="A49" s="6" t="s">
        <v>133</v>
      </c>
      <c r="B49" s="6" t="s">
        <v>233</v>
      </c>
      <c r="C49" s="65">
        <v>914</v>
      </c>
      <c r="D49" s="65" t="s">
        <v>126</v>
      </c>
      <c r="E49" s="7">
        <v>10570.1</v>
      </c>
      <c r="F49" s="7">
        <v>10570.1</v>
      </c>
      <c r="G49" s="7">
        <v>10570.1</v>
      </c>
      <c r="H49" s="77">
        <f t="shared" si="0"/>
        <v>0</v>
      </c>
      <c r="J49" s="7">
        <v>10570.1</v>
      </c>
      <c r="K49" s="7">
        <v>10570.1</v>
      </c>
      <c r="L49" s="7">
        <v>10570.1</v>
      </c>
      <c r="M49" s="77">
        <f t="shared" si="1"/>
        <v>0</v>
      </c>
    </row>
    <row r="50" spans="1:13" ht="46.5" customHeight="1" x14ac:dyDescent="0.3">
      <c r="A50" s="6" t="s">
        <v>236</v>
      </c>
      <c r="B50" s="6"/>
      <c r="C50" s="65">
        <v>914</v>
      </c>
      <c r="D50" s="65"/>
      <c r="E50" s="7"/>
      <c r="F50" s="7"/>
      <c r="G50" s="7"/>
      <c r="H50" s="77">
        <f t="shared" si="0"/>
        <v>0</v>
      </c>
      <c r="J50" s="7"/>
      <c r="K50" s="7">
        <v>22593.7</v>
      </c>
      <c r="L50" s="7">
        <v>22593.7</v>
      </c>
      <c r="M50" s="77">
        <f t="shared" si="1"/>
        <v>0</v>
      </c>
    </row>
    <row r="51" spans="1:13" ht="53.25" customHeight="1" x14ac:dyDescent="0.3">
      <c r="A51" s="6" t="s">
        <v>258</v>
      </c>
      <c r="B51" s="6" t="s">
        <v>233</v>
      </c>
      <c r="C51" s="65">
        <v>914</v>
      </c>
      <c r="D51" s="65" t="s">
        <v>127</v>
      </c>
      <c r="E51" s="7">
        <v>29951.4</v>
      </c>
      <c r="F51" s="7">
        <v>29951.4</v>
      </c>
      <c r="G51" s="7">
        <v>29951.4</v>
      </c>
      <c r="H51" s="77">
        <f t="shared" si="0"/>
        <v>0</v>
      </c>
      <c r="J51" s="7"/>
      <c r="K51" s="7"/>
      <c r="L51" s="7"/>
      <c r="M51" s="77">
        <f t="shared" si="1"/>
        <v>0</v>
      </c>
    </row>
    <row r="52" spans="1:13" ht="114.75" customHeight="1" x14ac:dyDescent="0.3">
      <c r="A52" s="6" t="s">
        <v>309</v>
      </c>
      <c r="B52" s="6" t="s">
        <v>234</v>
      </c>
      <c r="C52" s="65">
        <v>904</v>
      </c>
      <c r="D52" s="65" t="s">
        <v>282</v>
      </c>
      <c r="E52" s="7">
        <v>57696.1</v>
      </c>
      <c r="F52" s="7">
        <v>57696.1</v>
      </c>
      <c r="G52" s="7">
        <v>57696.1</v>
      </c>
      <c r="H52" s="77">
        <f t="shared" si="0"/>
        <v>0</v>
      </c>
      <c r="J52" s="7"/>
      <c r="K52" s="7"/>
      <c r="L52" s="7"/>
      <c r="M52" s="77">
        <f t="shared" si="1"/>
        <v>0</v>
      </c>
    </row>
    <row r="53" spans="1:13" ht="107.25" customHeight="1" x14ac:dyDescent="0.3">
      <c r="A53" s="6" t="s">
        <v>310</v>
      </c>
      <c r="B53" s="6"/>
      <c r="C53" s="65">
        <v>904</v>
      </c>
      <c r="D53" s="65" t="s">
        <v>282</v>
      </c>
      <c r="E53" s="7"/>
      <c r="F53" s="7"/>
      <c r="G53" s="7"/>
      <c r="H53" s="77">
        <f t="shared" si="0"/>
        <v>0</v>
      </c>
      <c r="J53" s="7">
        <v>46323.3</v>
      </c>
      <c r="K53" s="116">
        <v>46323.3</v>
      </c>
      <c r="L53" s="116">
        <f>29537.023+16786.277</f>
        <v>46323.3</v>
      </c>
      <c r="M53" s="77">
        <f t="shared" si="1"/>
        <v>0</v>
      </c>
    </row>
    <row r="54" spans="1:13" ht="107.25" customHeight="1" x14ac:dyDescent="0.3">
      <c r="A54" s="6" t="s">
        <v>307</v>
      </c>
      <c r="B54" s="6"/>
      <c r="C54" s="65">
        <v>904</v>
      </c>
      <c r="D54" s="65" t="s">
        <v>282</v>
      </c>
      <c r="E54" s="7"/>
      <c r="F54" s="7"/>
      <c r="G54" s="7"/>
      <c r="H54" s="77">
        <f t="shared" si="0"/>
        <v>0</v>
      </c>
      <c r="J54" s="7"/>
      <c r="K54" s="116">
        <v>0</v>
      </c>
      <c r="L54" s="116">
        <v>0</v>
      </c>
      <c r="M54" s="77">
        <f t="shared" si="1"/>
        <v>0</v>
      </c>
    </row>
    <row r="55" spans="1:13" ht="43.5" customHeight="1" x14ac:dyDescent="0.3">
      <c r="A55" s="66" t="s">
        <v>110</v>
      </c>
      <c r="B55" s="6" t="s">
        <v>234</v>
      </c>
      <c r="C55" s="67">
        <v>902</v>
      </c>
      <c r="D55" s="67" t="s">
        <v>128</v>
      </c>
      <c r="E55" s="7">
        <v>2922.4</v>
      </c>
      <c r="F55" s="7">
        <v>2890</v>
      </c>
      <c r="G55" s="7">
        <v>2890</v>
      </c>
      <c r="H55" s="77">
        <f t="shared" si="0"/>
        <v>0</v>
      </c>
      <c r="J55" s="7">
        <v>2093.3000000000002</v>
      </c>
      <c r="K55" s="7">
        <v>2907.8</v>
      </c>
      <c r="L55" s="7">
        <v>2907.8</v>
      </c>
      <c r="M55" s="77">
        <f t="shared" si="1"/>
        <v>0</v>
      </c>
    </row>
    <row r="56" spans="1:13" ht="39" x14ac:dyDescent="0.3">
      <c r="A56" s="66" t="s">
        <v>130</v>
      </c>
      <c r="B56" s="66" t="s">
        <v>235</v>
      </c>
      <c r="C56" s="67">
        <v>907</v>
      </c>
      <c r="D56" s="67" t="s">
        <v>131</v>
      </c>
      <c r="E56" s="7">
        <v>3222.5</v>
      </c>
      <c r="F56" s="7">
        <v>3204.3</v>
      </c>
      <c r="G56" s="7">
        <v>3204.3</v>
      </c>
      <c r="H56" s="77">
        <f t="shared" si="0"/>
        <v>0</v>
      </c>
      <c r="J56" s="7">
        <v>3351.4</v>
      </c>
      <c r="K56" s="7">
        <v>3332.5</v>
      </c>
      <c r="L56" s="7">
        <v>3332.5</v>
      </c>
      <c r="M56" s="77">
        <f t="shared" si="1"/>
        <v>0</v>
      </c>
    </row>
    <row r="57" spans="1:13" ht="78" x14ac:dyDescent="0.3">
      <c r="A57" s="6" t="s">
        <v>112</v>
      </c>
      <c r="B57" s="66" t="s">
        <v>235</v>
      </c>
      <c r="C57" s="65">
        <v>913</v>
      </c>
      <c r="D57" s="65" t="s">
        <v>137</v>
      </c>
      <c r="E57" s="7">
        <v>449.5</v>
      </c>
      <c r="F57" s="7">
        <v>463.3</v>
      </c>
      <c r="G57" s="7">
        <v>463.3</v>
      </c>
      <c r="H57" s="77">
        <f t="shared" si="0"/>
        <v>0</v>
      </c>
      <c r="J57" s="7">
        <v>449.5</v>
      </c>
      <c r="K57" s="7">
        <v>463.3</v>
      </c>
      <c r="L57" s="7">
        <v>463.3</v>
      </c>
      <c r="M57" s="77">
        <f t="shared" si="1"/>
        <v>0</v>
      </c>
    </row>
    <row r="58" spans="1:13" ht="39" x14ac:dyDescent="0.3">
      <c r="A58" s="6" t="s">
        <v>105</v>
      </c>
      <c r="B58" s="6" t="s">
        <v>242</v>
      </c>
      <c r="C58" s="65">
        <v>906</v>
      </c>
      <c r="D58" s="65" t="s">
        <v>131</v>
      </c>
      <c r="E58" s="7">
        <v>481.6</v>
      </c>
      <c r="F58" s="7">
        <v>481.6</v>
      </c>
      <c r="G58" s="7">
        <v>481.6</v>
      </c>
      <c r="H58" s="77">
        <f t="shared" si="0"/>
        <v>0</v>
      </c>
      <c r="J58" s="7">
        <v>481.6</v>
      </c>
      <c r="K58" s="7">
        <v>481.6</v>
      </c>
      <c r="L58" s="7">
        <v>481.6</v>
      </c>
      <c r="M58" s="77">
        <f t="shared" si="1"/>
        <v>0</v>
      </c>
    </row>
    <row r="59" spans="1:13" ht="73.5" customHeight="1" x14ac:dyDescent="0.3">
      <c r="A59" s="6" t="s">
        <v>327</v>
      </c>
      <c r="B59" s="6"/>
      <c r="C59" s="65"/>
      <c r="D59" s="65"/>
      <c r="E59" s="7"/>
      <c r="F59" s="7">
        <v>4257.8</v>
      </c>
      <c r="G59" s="7">
        <v>4257.8</v>
      </c>
      <c r="H59" s="77">
        <f t="shared" si="0"/>
        <v>0</v>
      </c>
      <c r="J59" s="7"/>
      <c r="K59" s="7"/>
      <c r="L59" s="7"/>
      <c r="M59" s="77">
        <f t="shared" si="1"/>
        <v>0</v>
      </c>
    </row>
    <row r="60" spans="1:13" s="8" customFormat="1" ht="45" customHeight="1" x14ac:dyDescent="0.25">
      <c r="A60" s="33" t="s">
        <v>4</v>
      </c>
      <c r="B60" s="33"/>
      <c r="C60" s="36" t="s">
        <v>87</v>
      </c>
      <c r="D60" s="36" t="s">
        <v>87</v>
      </c>
      <c r="E60" s="9">
        <f>SUM(E6:E58)</f>
        <v>190252.40000000002</v>
      </c>
      <c r="F60" s="9">
        <f>SUM(F6:F59)</f>
        <v>430057.69999999995</v>
      </c>
      <c r="G60" s="9">
        <f t="shared" ref="G60" si="2">SUM(G6:G59)</f>
        <v>430057.69999999995</v>
      </c>
      <c r="H60" s="9">
        <f>SUM(H6:H59)</f>
        <v>0</v>
      </c>
      <c r="J60" s="9">
        <f>SUM(J6:J58)</f>
        <v>253018.40000000002</v>
      </c>
      <c r="K60" s="9">
        <f>SUM(K6:K59)</f>
        <v>456407.69999999995</v>
      </c>
      <c r="L60" s="9">
        <f t="shared" ref="L60:M60" si="3">SUM(L6:L59)</f>
        <v>456407.69999999995</v>
      </c>
      <c r="M60" s="9">
        <f t="shared" si="3"/>
        <v>0</v>
      </c>
    </row>
    <row r="61" spans="1:13" s="17" customFormat="1" x14ac:dyDescent="0.3">
      <c r="C61" s="59"/>
      <c r="D61" s="59"/>
      <c r="E61" s="35"/>
      <c r="F61" s="18">
        <v>422090.3</v>
      </c>
      <c r="G61" s="18"/>
      <c r="H61" s="18"/>
      <c r="J61" s="18"/>
      <c r="K61" s="18">
        <v>456407.69999999995</v>
      </c>
      <c r="L61" s="18"/>
      <c r="M61" s="35"/>
    </row>
    <row r="62" spans="1:13" s="17" customFormat="1" x14ac:dyDescent="0.3">
      <c r="C62" s="59"/>
      <c r="D62" s="59"/>
      <c r="E62" s="18"/>
      <c r="F62" s="18">
        <f>F60-F61</f>
        <v>7967.3999999999651</v>
      </c>
      <c r="G62" s="18"/>
      <c r="H62" s="18"/>
      <c r="J62" s="18"/>
      <c r="K62" s="18">
        <f>K60-K61</f>
        <v>0</v>
      </c>
      <c r="L62" s="18"/>
      <c r="M62" s="35"/>
    </row>
    <row r="63" spans="1:13" s="10" customFormat="1" x14ac:dyDescent="0.3">
      <c r="C63" s="60"/>
      <c r="D63" s="60"/>
      <c r="E63" s="11"/>
      <c r="F63" s="11"/>
      <c r="G63" s="11"/>
      <c r="H63" s="11"/>
      <c r="J63" s="11"/>
      <c r="K63" s="11"/>
      <c r="L63" s="11"/>
      <c r="M63" s="11"/>
    </row>
    <row r="64" spans="1:13" s="12" customFormat="1" ht="39" x14ac:dyDescent="0.3">
      <c r="A64" s="13" t="s">
        <v>5</v>
      </c>
      <c r="B64" s="13"/>
      <c r="C64" s="64"/>
      <c r="D64" s="64"/>
      <c r="E64" s="64"/>
      <c r="F64" s="204" t="s">
        <v>6</v>
      </c>
      <c r="G64" s="204"/>
      <c r="H64" s="204"/>
      <c r="I64" s="204"/>
      <c r="J64" s="204"/>
      <c r="K64" s="204"/>
      <c r="L64" s="204"/>
      <c r="M64" s="204"/>
    </row>
    <row r="66" spans="3:13" hidden="1" x14ac:dyDescent="0.3">
      <c r="E66" s="26">
        <v>169216.49999999997</v>
      </c>
      <c r="F66" s="26">
        <v>218502.3</v>
      </c>
      <c r="J66" s="26">
        <v>14338.7</v>
      </c>
      <c r="K66" s="26">
        <v>137912.5</v>
      </c>
    </row>
    <row r="67" spans="3:13" hidden="1" x14ac:dyDescent="0.3">
      <c r="E67" s="26">
        <f>E60-E66</f>
        <v>21035.900000000052</v>
      </c>
      <c r="F67" s="26">
        <f>F60-F66</f>
        <v>211555.39999999997</v>
      </c>
      <c r="J67" s="26">
        <f>J60-J66</f>
        <v>238679.7</v>
      </c>
      <c r="K67" s="26">
        <f>K60-K66</f>
        <v>318495.19999999995</v>
      </c>
    </row>
    <row r="68" spans="3:13" hidden="1" x14ac:dyDescent="0.3"/>
    <row r="69" spans="3:13" hidden="1" x14ac:dyDescent="0.3"/>
    <row r="70" spans="3:13" hidden="1" x14ac:dyDescent="0.3"/>
    <row r="71" spans="3:13" hidden="1" x14ac:dyDescent="0.3"/>
    <row r="72" spans="3:13" hidden="1" x14ac:dyDescent="0.3">
      <c r="C72" s="61">
        <v>902</v>
      </c>
      <c r="D72" s="58" t="s">
        <v>128</v>
      </c>
      <c r="E72" s="26">
        <f>E55</f>
        <v>2922.4</v>
      </c>
      <c r="F72" s="26">
        <f>F55</f>
        <v>2890</v>
      </c>
      <c r="H72" s="26">
        <f>H55</f>
        <v>0</v>
      </c>
      <c r="J72" s="26">
        <f>J55</f>
        <v>2093.3000000000002</v>
      </c>
      <c r="K72" s="26">
        <f>K55</f>
        <v>2907.8</v>
      </c>
      <c r="M72" s="26">
        <f>M55</f>
        <v>0</v>
      </c>
    </row>
    <row r="73" spans="3:13" hidden="1" x14ac:dyDescent="0.3">
      <c r="D73" s="58"/>
    </row>
    <row r="74" spans="3:13" hidden="1" x14ac:dyDescent="0.3">
      <c r="C74" s="61">
        <v>904</v>
      </c>
      <c r="D74" s="58" t="s">
        <v>126</v>
      </c>
      <c r="E74" s="26">
        <f>E47</f>
        <v>91.5</v>
      </c>
      <c r="F74" s="26">
        <f>F47</f>
        <v>91.5</v>
      </c>
      <c r="H74" s="26">
        <f>H47</f>
        <v>0</v>
      </c>
      <c r="J74" s="26">
        <f>J47</f>
        <v>91.5</v>
      </c>
      <c r="K74" s="26">
        <f>K47</f>
        <v>91.5</v>
      </c>
      <c r="M74" s="26">
        <f>M47</f>
        <v>0</v>
      </c>
    </row>
    <row r="75" spans="3:13" hidden="1" x14ac:dyDescent="0.3">
      <c r="C75" s="61">
        <v>904</v>
      </c>
      <c r="D75" s="58" t="s">
        <v>127</v>
      </c>
      <c r="E75" s="26" t="e">
        <f>#REF!+#REF!+#REF!</f>
        <v>#REF!</v>
      </c>
      <c r="F75" s="26" t="e">
        <f>#REF!+#REF!+#REF!</f>
        <v>#REF!</v>
      </c>
      <c r="H75" s="26" t="e">
        <f>#REF!+#REF!+#REF!</f>
        <v>#REF!</v>
      </c>
      <c r="J75" s="26" t="e">
        <f>#REF!+#REF!+#REF!</f>
        <v>#REF!</v>
      </c>
      <c r="K75" s="26" t="e">
        <f>#REF!+#REF!+#REF!</f>
        <v>#REF!</v>
      </c>
      <c r="M75" s="26" t="e">
        <f>#REF!+#REF!+#REF!</f>
        <v>#REF!</v>
      </c>
    </row>
    <row r="76" spans="3:13" hidden="1" x14ac:dyDescent="0.3">
      <c r="C76" s="61">
        <v>904</v>
      </c>
      <c r="D76" s="58" t="s">
        <v>123</v>
      </c>
    </row>
    <row r="77" spans="3:13" hidden="1" x14ac:dyDescent="0.3">
      <c r="D77" s="58"/>
    </row>
    <row r="78" spans="3:13" hidden="1" x14ac:dyDescent="0.3">
      <c r="C78" s="61">
        <v>906</v>
      </c>
      <c r="D78" s="58" t="s">
        <v>124</v>
      </c>
    </row>
    <row r="79" spans="3:13" hidden="1" x14ac:dyDescent="0.3">
      <c r="C79" s="61">
        <v>906</v>
      </c>
      <c r="D79" s="58" t="s">
        <v>131</v>
      </c>
      <c r="E79" s="26">
        <f>E58</f>
        <v>481.6</v>
      </c>
      <c r="F79" s="26">
        <f>F58</f>
        <v>481.6</v>
      </c>
      <c r="H79" s="26">
        <f>H58</f>
        <v>0</v>
      </c>
      <c r="J79" s="26">
        <f>J58</f>
        <v>481.6</v>
      </c>
      <c r="K79" s="26">
        <f>K58</f>
        <v>481.6</v>
      </c>
      <c r="M79" s="26">
        <f>M58</f>
        <v>0</v>
      </c>
    </row>
    <row r="80" spans="3:13" hidden="1" x14ac:dyDescent="0.3">
      <c r="C80" s="61">
        <v>906</v>
      </c>
      <c r="D80" s="58" t="s">
        <v>123</v>
      </c>
      <c r="E80" s="26">
        <f>E8+E9</f>
        <v>1307.4000000000001</v>
      </c>
      <c r="F80" s="26">
        <f>F8+F9</f>
        <v>1307.4000000000001</v>
      </c>
      <c r="H80" s="26">
        <f>H8+H9</f>
        <v>0</v>
      </c>
      <c r="J80" s="26">
        <f>J8+J9</f>
        <v>0</v>
      </c>
      <c r="K80" s="26">
        <f>K8+K9</f>
        <v>0</v>
      </c>
      <c r="M80" s="26">
        <f>M8+M9</f>
        <v>0</v>
      </c>
    </row>
    <row r="81" spans="3:13" hidden="1" x14ac:dyDescent="0.3">
      <c r="D81" s="58"/>
    </row>
    <row r="82" spans="3:13" hidden="1" x14ac:dyDescent="0.3">
      <c r="C82" s="61">
        <v>907</v>
      </c>
      <c r="D82" s="58" t="s">
        <v>125</v>
      </c>
      <c r="E82" s="26">
        <f>E12</f>
        <v>32355.9</v>
      </c>
      <c r="F82" s="26">
        <f>F12</f>
        <v>34298.9</v>
      </c>
      <c r="H82" s="26">
        <f>H12</f>
        <v>0</v>
      </c>
      <c r="J82" s="26">
        <f>J12</f>
        <v>5500.5</v>
      </c>
      <c r="K82" s="26">
        <f>K12</f>
        <v>35104.400000000001</v>
      </c>
      <c r="M82" s="26">
        <f>M12</f>
        <v>0</v>
      </c>
    </row>
    <row r="83" spans="3:13" hidden="1" x14ac:dyDescent="0.3">
      <c r="C83" s="61">
        <v>907</v>
      </c>
      <c r="D83" s="58" t="s">
        <v>131</v>
      </c>
      <c r="E83" s="26">
        <f>E56</f>
        <v>3222.5</v>
      </c>
      <c r="F83" s="26">
        <f>F56</f>
        <v>3204.3</v>
      </c>
      <c r="H83" s="26">
        <f>H56</f>
        <v>0</v>
      </c>
      <c r="J83" s="26">
        <f>J56</f>
        <v>3351.4</v>
      </c>
      <c r="K83" s="26">
        <f>K56</f>
        <v>3332.5</v>
      </c>
      <c r="M83" s="26">
        <f>M56</f>
        <v>0</v>
      </c>
    </row>
    <row r="84" spans="3:13" hidden="1" x14ac:dyDescent="0.3">
      <c r="D84" s="58"/>
    </row>
    <row r="85" spans="3:13" hidden="1" x14ac:dyDescent="0.3">
      <c r="C85" s="61">
        <v>913</v>
      </c>
      <c r="D85" s="58" t="s">
        <v>137</v>
      </c>
      <c r="E85" s="26">
        <f>E57</f>
        <v>449.5</v>
      </c>
      <c r="F85" s="26">
        <f>F57</f>
        <v>463.3</v>
      </c>
      <c r="H85" s="26">
        <f>H57</f>
        <v>0</v>
      </c>
      <c r="J85" s="26">
        <f>J57</f>
        <v>449.5</v>
      </c>
      <c r="K85" s="26">
        <f>K57</f>
        <v>463.3</v>
      </c>
      <c r="M85" s="26">
        <f>M57</f>
        <v>0</v>
      </c>
    </row>
    <row r="86" spans="3:13" hidden="1" x14ac:dyDescent="0.3">
      <c r="C86" s="61">
        <v>913</v>
      </c>
      <c r="D86" s="58" t="s">
        <v>129</v>
      </c>
    </row>
    <row r="87" spans="3:13" hidden="1" x14ac:dyDescent="0.3">
      <c r="D87" s="58"/>
    </row>
    <row r="88" spans="3:13" hidden="1" x14ac:dyDescent="0.3">
      <c r="C88" s="61">
        <v>914</v>
      </c>
      <c r="D88" s="58" t="s">
        <v>136</v>
      </c>
      <c r="E88" s="26">
        <f>E6+E7</f>
        <v>305.89999999999998</v>
      </c>
      <c r="F88" s="26">
        <f>F6+F7</f>
        <v>304.29999999999995</v>
      </c>
      <c r="H88" s="26">
        <f>H6+H7</f>
        <v>0</v>
      </c>
      <c r="J88" s="26">
        <f>J6+J7</f>
        <v>317.70000000000005</v>
      </c>
      <c r="K88" s="26">
        <f>K6+K7</f>
        <v>315.89999999999998</v>
      </c>
      <c r="M88" s="26">
        <f>M6+M7</f>
        <v>0</v>
      </c>
    </row>
    <row r="89" spans="3:13" hidden="1" x14ac:dyDescent="0.3">
      <c r="C89" s="61">
        <v>914</v>
      </c>
      <c r="D89" s="58" t="s">
        <v>132</v>
      </c>
      <c r="E89" s="26" t="e">
        <f>#REF!</f>
        <v>#REF!</v>
      </c>
      <c r="F89" s="26" t="e">
        <f>#REF!</f>
        <v>#REF!</v>
      </c>
      <c r="H89" s="26" t="e">
        <f>#REF!</f>
        <v>#REF!</v>
      </c>
      <c r="J89" s="26" t="e">
        <f>#REF!</f>
        <v>#REF!</v>
      </c>
      <c r="K89" s="26" t="e">
        <f>#REF!</f>
        <v>#REF!</v>
      </c>
      <c r="M89" s="26" t="e">
        <f>#REF!</f>
        <v>#REF!</v>
      </c>
    </row>
    <row r="90" spans="3:13" hidden="1" x14ac:dyDescent="0.3">
      <c r="C90" s="61">
        <v>914</v>
      </c>
      <c r="D90" s="58" t="s">
        <v>126</v>
      </c>
      <c r="E90" s="26">
        <f>E49</f>
        <v>10570.1</v>
      </c>
      <c r="F90" s="26">
        <f>F49</f>
        <v>10570.1</v>
      </c>
      <c r="H90" s="26">
        <f>H49</f>
        <v>0</v>
      </c>
      <c r="J90" s="26">
        <f>J49</f>
        <v>10570.1</v>
      </c>
      <c r="K90" s="26">
        <f>K49</f>
        <v>10570.1</v>
      </c>
      <c r="M90" s="26">
        <f>M49</f>
        <v>0</v>
      </c>
    </row>
    <row r="91" spans="3:13" hidden="1" x14ac:dyDescent="0.3">
      <c r="C91" s="61">
        <v>914</v>
      </c>
      <c r="D91" s="58" t="s">
        <v>135</v>
      </c>
      <c r="E91" s="26" t="e">
        <f>#REF!+#REF!+#REF!</f>
        <v>#REF!</v>
      </c>
      <c r="F91" s="26" t="e">
        <f>#REF!+#REF!+#REF!</f>
        <v>#REF!</v>
      </c>
      <c r="H91" s="26" t="e">
        <f>#REF!+#REF!+#REF!</f>
        <v>#REF!</v>
      </c>
      <c r="J91" s="26" t="e">
        <f>#REF!+#REF!+#REF!</f>
        <v>#REF!</v>
      </c>
      <c r="K91" s="26" t="e">
        <f>#REF!+#REF!+#REF!</f>
        <v>#REF!</v>
      </c>
      <c r="M91" s="26" t="e">
        <f>#REF!+#REF!+#REF!</f>
        <v>#REF!</v>
      </c>
    </row>
    <row r="92" spans="3:13" hidden="1" x14ac:dyDescent="0.3">
      <c r="D92" s="58"/>
    </row>
    <row r="93" spans="3:13" hidden="1" x14ac:dyDescent="0.3">
      <c r="D93" s="58"/>
      <c r="E93" s="26" t="e">
        <f>SUBTOTAL(9,E72:E91)</f>
        <v>#REF!</v>
      </c>
      <c r="F93" s="26" t="e">
        <f>SUBTOTAL(9,F72:F91)</f>
        <v>#REF!</v>
      </c>
      <c r="H93" s="26" t="e">
        <f>SUBTOTAL(9,H72:H91)</f>
        <v>#REF!</v>
      </c>
      <c r="J93" s="26" t="e">
        <f>SUBTOTAL(9,J72:J91)</f>
        <v>#REF!</v>
      </c>
      <c r="K93" s="26" t="e">
        <f>SUBTOTAL(9,K72:K91)</f>
        <v>#REF!</v>
      </c>
      <c r="M93" s="26" t="e">
        <f>SUBTOTAL(9,M72:M91)</f>
        <v>#REF!</v>
      </c>
    </row>
    <row r="94" spans="3:13" hidden="1" x14ac:dyDescent="0.3">
      <c r="D94" s="58"/>
      <c r="E94" s="26" t="e">
        <f>E93-E66</f>
        <v>#REF!</v>
      </c>
      <c r="F94" s="26" t="e">
        <f>F93-F66</f>
        <v>#REF!</v>
      </c>
      <c r="H94" s="26" t="e">
        <f>H93-H66</f>
        <v>#REF!</v>
      </c>
      <c r="J94" s="26" t="e">
        <f>J93-J66</f>
        <v>#REF!</v>
      </c>
      <c r="K94" s="26" t="e">
        <f>K93-K66</f>
        <v>#REF!</v>
      </c>
      <c r="M94" s="26" t="e">
        <f>M93-M66</f>
        <v>#REF!</v>
      </c>
    </row>
    <row r="95" spans="3:13" hidden="1" x14ac:dyDescent="0.3"/>
    <row r="96" spans="3:13" hidden="1" x14ac:dyDescent="0.3"/>
    <row r="97" spans="1:13" hidden="1" x14ac:dyDescent="0.3"/>
    <row r="98" spans="1:13" hidden="1" x14ac:dyDescent="0.3">
      <c r="E98" s="26">
        <v>169216.5</v>
      </c>
      <c r="F98" s="26">
        <v>218502.3</v>
      </c>
      <c r="J98" s="26">
        <v>14338.7</v>
      </c>
      <c r="K98" s="26">
        <v>137912.5</v>
      </c>
    </row>
    <row r="99" spans="1:13" hidden="1" x14ac:dyDescent="0.3">
      <c r="E99" s="26">
        <f>E60-E98</f>
        <v>21035.900000000023</v>
      </c>
      <c r="F99" s="26">
        <f>F60-F98</f>
        <v>211555.39999999997</v>
      </c>
      <c r="J99" s="26">
        <f t="shared" ref="J99:K99" si="4">J60-J98</f>
        <v>238679.7</v>
      </c>
      <c r="K99" s="26">
        <f t="shared" si="4"/>
        <v>318495.19999999995</v>
      </c>
    </row>
    <row r="101" spans="1:13" hidden="1" x14ac:dyDescent="0.3">
      <c r="A101" s="203" t="s">
        <v>219</v>
      </c>
      <c r="B101" s="203"/>
      <c r="C101" s="203"/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</row>
    <row r="102" spans="1:13" ht="72" hidden="1" customHeight="1" x14ac:dyDescent="0.3">
      <c r="A102" s="205" t="s">
        <v>280</v>
      </c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</row>
    <row r="103" spans="1:13" ht="101.25" hidden="1" customHeight="1" x14ac:dyDescent="0.3">
      <c r="A103" s="33" t="s">
        <v>1</v>
      </c>
      <c r="B103" s="33"/>
      <c r="C103" s="33" t="s">
        <v>85</v>
      </c>
      <c r="D103" s="33" t="s">
        <v>122</v>
      </c>
      <c r="E103" s="51" t="s">
        <v>197</v>
      </c>
      <c r="F103" s="51" t="s">
        <v>198</v>
      </c>
      <c r="G103" s="51"/>
      <c r="H103" s="51" t="s">
        <v>196</v>
      </c>
      <c r="J103" s="51" t="s">
        <v>199</v>
      </c>
      <c r="K103" s="51" t="s">
        <v>200</v>
      </c>
      <c r="L103" s="51"/>
      <c r="M103" s="51" t="s">
        <v>196</v>
      </c>
    </row>
    <row r="104" spans="1:13" hidden="1" x14ac:dyDescent="0.3">
      <c r="A104" s="6"/>
      <c r="B104" s="6"/>
      <c r="C104" s="68"/>
      <c r="D104" s="65"/>
      <c r="E104" s="80"/>
      <c r="F104" s="80"/>
      <c r="G104" s="80"/>
      <c r="H104" s="77"/>
      <c r="J104" s="80"/>
      <c r="K104" s="80"/>
      <c r="L104" s="80"/>
      <c r="M104" s="77"/>
    </row>
    <row r="105" spans="1:13" ht="23.25" hidden="1" customHeight="1" x14ac:dyDescent="0.3">
      <c r="A105" s="6"/>
      <c r="B105" s="6"/>
      <c r="C105" s="68"/>
      <c r="D105" s="65"/>
      <c r="E105" s="80"/>
      <c r="F105" s="80"/>
      <c r="G105" s="80"/>
      <c r="H105" s="77"/>
      <c r="J105" s="80"/>
      <c r="K105" s="80"/>
      <c r="L105" s="80"/>
      <c r="M105" s="77"/>
    </row>
    <row r="106" spans="1:13" hidden="1" x14ac:dyDescent="0.3">
      <c r="A106" s="6"/>
      <c r="B106" s="6"/>
      <c r="C106" s="68"/>
      <c r="D106" s="65"/>
      <c r="E106" s="80"/>
      <c r="F106" s="80"/>
      <c r="G106" s="80"/>
      <c r="H106" s="77"/>
      <c r="J106" s="80"/>
      <c r="K106" s="80"/>
      <c r="L106" s="80"/>
      <c r="M106" s="77"/>
    </row>
    <row r="107" spans="1:13" hidden="1" x14ac:dyDescent="0.3">
      <c r="A107" s="6"/>
      <c r="B107" s="6"/>
      <c r="C107" s="68"/>
      <c r="D107" s="65"/>
      <c r="E107" s="80"/>
      <c r="F107" s="80"/>
      <c r="G107" s="80"/>
      <c r="H107" s="77"/>
      <c r="J107" s="80"/>
      <c r="K107" s="80"/>
      <c r="L107" s="80"/>
      <c r="M107" s="77"/>
    </row>
    <row r="108" spans="1:13" s="82" customFormat="1" hidden="1" x14ac:dyDescent="0.3">
      <c r="A108" s="33" t="s">
        <v>4</v>
      </c>
      <c r="B108" s="33"/>
      <c r="C108" s="63"/>
      <c r="D108" s="63"/>
      <c r="E108" s="81">
        <f>SUM(E104:E107)</f>
        <v>0</v>
      </c>
      <c r="F108" s="81">
        <f t="shared" ref="F108:H108" si="5">SUM(F104:F107)</f>
        <v>0</v>
      </c>
      <c r="G108" s="81"/>
      <c r="H108" s="81">
        <f t="shared" si="5"/>
        <v>0</v>
      </c>
      <c r="J108" s="81">
        <f>SUM(J104:J107)</f>
        <v>0</v>
      </c>
      <c r="K108" s="81">
        <f>SUM(K104:K107)</f>
        <v>0</v>
      </c>
      <c r="L108" s="81"/>
      <c r="M108" s="81">
        <f>SUM(M104:M107)</f>
        <v>0</v>
      </c>
    </row>
    <row r="109" spans="1:13" hidden="1" x14ac:dyDescent="0.3"/>
  </sheetData>
  <autoFilter ref="A5:M62"/>
  <mergeCells count="6">
    <mergeCell ref="A1:M1"/>
    <mergeCell ref="A4:M4"/>
    <mergeCell ref="A2:M2"/>
    <mergeCell ref="F64:M64"/>
    <mergeCell ref="A102:M102"/>
    <mergeCell ref="A101:M101"/>
  </mergeCells>
  <printOptions horizontalCentered="1"/>
  <pageMargins left="0" right="0" top="0" bottom="0" header="0.31496062992125984" footer="0.31496062992125984"/>
  <pageSetup paperSize="9" scale="4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9"/>
  <sheetViews>
    <sheetView view="pageBreakPreview" topLeftCell="A43" zoomScale="60" zoomScaleNormal="80" workbookViewId="0">
      <selection activeCell="A51" sqref="A51"/>
    </sheetView>
  </sheetViews>
  <sheetFormatPr defaultRowHeight="19.5" x14ac:dyDescent="0.25"/>
  <cols>
    <col min="1" max="1" width="87.7109375" style="1" customWidth="1"/>
    <col min="2" max="2" width="12.140625" style="1" hidden="1" customWidth="1"/>
    <col min="3" max="3" width="12.7109375" style="1" hidden="1" customWidth="1"/>
    <col min="4" max="4" width="27.140625" style="2" hidden="1" customWidth="1"/>
    <col min="5" max="7" width="30.42578125" style="2" customWidth="1"/>
    <col min="8" max="11" width="9.140625" style="1" customWidth="1"/>
    <col min="12" max="16384" width="9.140625" style="1"/>
  </cols>
  <sheetData>
    <row r="1" spans="1:7" s="183" customFormat="1" x14ac:dyDescent="0.25">
      <c r="A1" s="192" t="s">
        <v>65</v>
      </c>
      <c r="B1" s="192"/>
      <c r="C1" s="192"/>
      <c r="D1" s="192"/>
      <c r="E1" s="192"/>
      <c r="F1" s="192"/>
      <c r="G1" s="192"/>
    </row>
    <row r="2" spans="1:7" s="184" customFormat="1" ht="49.5" customHeight="1" x14ac:dyDescent="0.25">
      <c r="A2" s="197" t="s">
        <v>243</v>
      </c>
      <c r="B2" s="197"/>
      <c r="C2" s="197"/>
      <c r="D2" s="197"/>
      <c r="E2" s="197"/>
      <c r="F2" s="197"/>
      <c r="G2" s="197"/>
    </row>
    <row r="3" spans="1:7" ht="20.25" x14ac:dyDescent="0.25">
      <c r="A3" s="206" t="s">
        <v>0</v>
      </c>
      <c r="B3" s="206"/>
      <c r="C3" s="206"/>
      <c r="D3" s="206"/>
      <c r="E3" s="206"/>
      <c r="F3" s="206"/>
      <c r="G3" s="206"/>
    </row>
    <row r="4" spans="1:7" s="184" customFormat="1" ht="72.75" customHeight="1" x14ac:dyDescent="0.25">
      <c r="A4" s="36" t="s">
        <v>1</v>
      </c>
      <c r="B4" s="36" t="s">
        <v>85</v>
      </c>
      <c r="C4" s="36" t="s">
        <v>122</v>
      </c>
      <c r="D4" s="51" t="s">
        <v>315</v>
      </c>
      <c r="E4" s="51" t="s">
        <v>335</v>
      </c>
      <c r="F4" s="51" t="s">
        <v>336</v>
      </c>
      <c r="G4" s="51" t="s">
        <v>196</v>
      </c>
    </row>
    <row r="5" spans="1:7" s="184" customFormat="1" ht="39" x14ac:dyDescent="0.25">
      <c r="A5" s="185" t="s">
        <v>8</v>
      </c>
      <c r="B5" s="186">
        <v>902</v>
      </c>
      <c r="C5" s="186" t="s">
        <v>138</v>
      </c>
      <c r="D5" s="52">
        <v>685.8</v>
      </c>
      <c r="E5" s="52">
        <v>684.8</v>
      </c>
      <c r="F5" s="52">
        <v>684.8</v>
      </c>
      <c r="G5" s="77">
        <f>F5-E5</f>
        <v>0</v>
      </c>
    </row>
    <row r="6" spans="1:7" ht="58.5" x14ac:dyDescent="0.25">
      <c r="A6" s="53" t="s">
        <v>9</v>
      </c>
      <c r="B6" s="54">
        <v>902</v>
      </c>
      <c r="C6" s="54" t="s">
        <v>138</v>
      </c>
      <c r="D6" s="52">
        <v>681.5</v>
      </c>
      <c r="E6" s="52">
        <v>680.5</v>
      </c>
      <c r="F6" s="52">
        <v>680.5</v>
      </c>
      <c r="G6" s="77">
        <f t="shared" ref="G6:G51" si="0">F6-E6</f>
        <v>0</v>
      </c>
    </row>
    <row r="7" spans="1:7" ht="97.5" x14ac:dyDescent="0.25">
      <c r="A7" s="53" t="s">
        <v>10</v>
      </c>
      <c r="B7" s="54">
        <v>902</v>
      </c>
      <c r="C7" s="54" t="s">
        <v>138</v>
      </c>
      <c r="D7" s="52">
        <v>0.3</v>
      </c>
      <c r="E7" s="52">
        <v>0.3</v>
      </c>
      <c r="F7" s="52">
        <v>0.3</v>
      </c>
      <c r="G7" s="77">
        <f t="shared" si="0"/>
        <v>0</v>
      </c>
    </row>
    <row r="8" spans="1:7" ht="136.5" x14ac:dyDescent="0.25">
      <c r="A8" s="53" t="s">
        <v>114</v>
      </c>
      <c r="B8" s="54">
        <v>902</v>
      </c>
      <c r="C8" s="54" t="s">
        <v>139</v>
      </c>
      <c r="D8" s="52">
        <v>11.7</v>
      </c>
      <c r="E8" s="52">
        <v>3.7</v>
      </c>
      <c r="F8" s="52">
        <v>3.7</v>
      </c>
      <c r="G8" s="77">
        <f t="shared" si="0"/>
        <v>0</v>
      </c>
    </row>
    <row r="9" spans="1:7" ht="39" x14ac:dyDescent="0.25">
      <c r="A9" s="53" t="s">
        <v>11</v>
      </c>
      <c r="B9" s="54">
        <v>917</v>
      </c>
      <c r="C9" s="54" t="s">
        <v>136</v>
      </c>
      <c r="D9" s="52">
        <v>3219.6</v>
      </c>
      <c r="E9" s="52">
        <v>3141.9</v>
      </c>
      <c r="F9" s="52">
        <v>3141.9</v>
      </c>
      <c r="G9" s="77">
        <f t="shared" si="0"/>
        <v>0</v>
      </c>
    </row>
    <row r="10" spans="1:7" ht="58.5" x14ac:dyDescent="0.25">
      <c r="A10" s="53" t="s">
        <v>109</v>
      </c>
      <c r="B10" s="54">
        <v>902</v>
      </c>
      <c r="C10" s="54" t="s">
        <v>136</v>
      </c>
      <c r="D10" s="52">
        <v>168.7</v>
      </c>
      <c r="E10" s="52">
        <v>168.7</v>
      </c>
      <c r="F10" s="52">
        <v>168.7</v>
      </c>
      <c r="G10" s="77">
        <f t="shared" si="0"/>
        <v>0</v>
      </c>
    </row>
    <row r="11" spans="1:7" ht="97.5" x14ac:dyDescent="0.25">
      <c r="A11" s="53" t="s">
        <v>12</v>
      </c>
      <c r="B11" s="54">
        <v>902</v>
      </c>
      <c r="C11" s="54" t="s">
        <v>140</v>
      </c>
      <c r="D11" s="52">
        <v>2764.4</v>
      </c>
      <c r="E11" s="52">
        <f>2760.5</f>
        <v>2760.5</v>
      </c>
      <c r="F11" s="52">
        <f>2760.5</f>
        <v>2760.5</v>
      </c>
      <c r="G11" s="77">
        <f t="shared" si="0"/>
        <v>0</v>
      </c>
    </row>
    <row r="12" spans="1:7" ht="78" x14ac:dyDescent="0.25">
      <c r="A12" s="53" t="s">
        <v>13</v>
      </c>
      <c r="B12" s="54">
        <v>902</v>
      </c>
      <c r="C12" s="54" t="s">
        <v>140</v>
      </c>
      <c r="D12" s="52">
        <v>3037.9</v>
      </c>
      <c r="E12" s="52">
        <f>2306.1+434.4</f>
        <v>2740.5</v>
      </c>
      <c r="F12" s="52">
        <f>2306.1+434.4</f>
        <v>2740.5</v>
      </c>
      <c r="G12" s="77">
        <f t="shared" si="0"/>
        <v>0</v>
      </c>
    </row>
    <row r="13" spans="1:7" ht="78" x14ac:dyDescent="0.25">
      <c r="A13" s="53" t="s">
        <v>195</v>
      </c>
      <c r="B13" s="54">
        <v>902</v>
      </c>
      <c r="C13" s="54" t="s">
        <v>128</v>
      </c>
      <c r="D13" s="52">
        <v>28525.200000000001</v>
      </c>
      <c r="E13" s="52">
        <f>43626.8+17845.1-1567.2</f>
        <v>59904.700000000004</v>
      </c>
      <c r="F13" s="52">
        <f>43626.8+17845.1-1567.2</f>
        <v>59904.700000000004</v>
      </c>
      <c r="G13" s="77">
        <f t="shared" si="0"/>
        <v>0</v>
      </c>
    </row>
    <row r="14" spans="1:7" ht="174.75" customHeight="1" x14ac:dyDescent="0.25">
      <c r="A14" s="187" t="s">
        <v>14</v>
      </c>
      <c r="B14" s="54">
        <v>907</v>
      </c>
      <c r="C14" s="54" t="s">
        <v>145</v>
      </c>
      <c r="D14" s="52">
        <v>782067.3</v>
      </c>
      <c r="E14" s="52">
        <f>797648.7-17551.9+32242.9</f>
        <v>812339.7</v>
      </c>
      <c r="F14" s="52">
        <f>797648.7-17551.9+32242.9</f>
        <v>812339.7</v>
      </c>
      <c r="G14" s="77">
        <f t="shared" si="0"/>
        <v>0</v>
      </c>
    </row>
    <row r="15" spans="1:7" ht="97.5" x14ac:dyDescent="0.25">
      <c r="A15" s="53" t="s">
        <v>15</v>
      </c>
      <c r="B15" s="54">
        <v>907</v>
      </c>
      <c r="C15" s="54" t="s">
        <v>144</v>
      </c>
      <c r="D15" s="52">
        <v>3307.6</v>
      </c>
      <c r="E15" s="52">
        <v>3302.7</v>
      </c>
      <c r="F15" s="52">
        <v>3302.7</v>
      </c>
      <c r="G15" s="77">
        <f t="shared" si="0"/>
        <v>0</v>
      </c>
    </row>
    <row r="16" spans="1:7" ht="253.5" hidden="1" x14ac:dyDescent="0.25">
      <c r="A16" s="53" t="s">
        <v>16</v>
      </c>
      <c r="B16" s="54">
        <v>914</v>
      </c>
      <c r="C16" s="54" t="s">
        <v>141</v>
      </c>
      <c r="D16" s="52"/>
      <c r="E16" s="52"/>
      <c r="F16" s="52"/>
      <c r="G16" s="77">
        <f t="shared" si="0"/>
        <v>0</v>
      </c>
    </row>
    <row r="17" spans="1:7" ht="97.5" x14ac:dyDescent="0.25">
      <c r="A17" s="53" t="s">
        <v>17</v>
      </c>
      <c r="B17" s="54">
        <v>913</v>
      </c>
      <c r="C17" s="54" t="s">
        <v>142</v>
      </c>
      <c r="D17" s="52">
        <v>55679.9</v>
      </c>
      <c r="E17" s="52">
        <v>56202.400000000001</v>
      </c>
      <c r="F17" s="52">
        <v>56202.400000000001</v>
      </c>
      <c r="G17" s="77">
        <f t="shared" si="0"/>
        <v>0</v>
      </c>
    </row>
    <row r="18" spans="1:7" ht="136.5" hidden="1" x14ac:dyDescent="0.25">
      <c r="A18" s="53" t="s">
        <v>115</v>
      </c>
      <c r="B18" s="54">
        <v>913</v>
      </c>
      <c r="C18" s="54" t="s">
        <v>143</v>
      </c>
      <c r="D18" s="52"/>
      <c r="E18" s="52"/>
      <c r="F18" s="52"/>
      <c r="G18" s="77">
        <f t="shared" si="0"/>
        <v>0</v>
      </c>
    </row>
    <row r="19" spans="1:7" ht="78" x14ac:dyDescent="0.25">
      <c r="A19" s="53" t="s">
        <v>18</v>
      </c>
      <c r="B19" s="54">
        <v>913</v>
      </c>
      <c r="C19" s="54" t="s">
        <v>143</v>
      </c>
      <c r="D19" s="52">
        <v>1402.4</v>
      </c>
      <c r="E19" s="52">
        <v>1470.7</v>
      </c>
      <c r="F19" s="52">
        <v>1470.7</v>
      </c>
      <c r="G19" s="77">
        <f t="shared" si="0"/>
        <v>0</v>
      </c>
    </row>
    <row r="20" spans="1:7" ht="39" x14ac:dyDescent="0.25">
      <c r="A20" s="53" t="s">
        <v>19</v>
      </c>
      <c r="B20" s="54">
        <v>913</v>
      </c>
      <c r="C20" s="54" t="s">
        <v>143</v>
      </c>
      <c r="D20" s="52">
        <v>31752.5</v>
      </c>
      <c r="E20" s="52">
        <v>32934.1</v>
      </c>
      <c r="F20" s="52">
        <v>32934.1</v>
      </c>
      <c r="G20" s="77">
        <f t="shared" si="0"/>
        <v>0</v>
      </c>
    </row>
    <row r="21" spans="1:7" ht="156" hidden="1" x14ac:dyDescent="0.25">
      <c r="A21" s="53" t="s">
        <v>20</v>
      </c>
      <c r="B21" s="54">
        <v>913</v>
      </c>
      <c r="C21" s="54" t="s">
        <v>143</v>
      </c>
      <c r="D21" s="52"/>
      <c r="E21" s="52"/>
      <c r="F21" s="52"/>
      <c r="G21" s="77">
        <f t="shared" si="0"/>
        <v>0</v>
      </c>
    </row>
    <row r="22" spans="1:7" ht="117" hidden="1" x14ac:dyDescent="0.25">
      <c r="A22" s="53" t="s">
        <v>21</v>
      </c>
      <c r="B22" s="54">
        <v>913</v>
      </c>
      <c r="C22" s="54" t="s">
        <v>143</v>
      </c>
      <c r="D22" s="52"/>
      <c r="E22" s="52"/>
      <c r="F22" s="52"/>
      <c r="G22" s="77">
        <f t="shared" si="0"/>
        <v>0</v>
      </c>
    </row>
    <row r="23" spans="1:7" ht="117" hidden="1" x14ac:dyDescent="0.25">
      <c r="A23" s="53" t="s">
        <v>22</v>
      </c>
      <c r="B23" s="54">
        <v>913</v>
      </c>
      <c r="C23" s="54" t="s">
        <v>143</v>
      </c>
      <c r="D23" s="52"/>
      <c r="E23" s="52"/>
      <c r="F23" s="52"/>
      <c r="G23" s="77">
        <f t="shared" si="0"/>
        <v>0</v>
      </c>
    </row>
    <row r="24" spans="1:7" ht="156" hidden="1" x14ac:dyDescent="0.25">
      <c r="A24" s="53" t="s">
        <v>23</v>
      </c>
      <c r="B24" s="54">
        <v>913</v>
      </c>
      <c r="C24" s="54" t="s">
        <v>143</v>
      </c>
      <c r="D24" s="52"/>
      <c r="E24" s="52"/>
      <c r="F24" s="52"/>
      <c r="G24" s="77">
        <f t="shared" si="0"/>
        <v>0</v>
      </c>
    </row>
    <row r="25" spans="1:7" ht="58.5" x14ac:dyDescent="0.25">
      <c r="A25" s="53" t="s">
        <v>24</v>
      </c>
      <c r="B25" s="54">
        <v>913</v>
      </c>
      <c r="C25" s="54" t="s">
        <v>143</v>
      </c>
      <c r="D25" s="52">
        <v>64745.9</v>
      </c>
      <c r="E25" s="52">
        <v>67096.800000000003</v>
      </c>
      <c r="F25" s="52">
        <f>67096.8+1047</f>
        <v>68143.8</v>
      </c>
      <c r="G25" s="77">
        <f t="shared" si="0"/>
        <v>1047</v>
      </c>
    </row>
    <row r="26" spans="1:7" ht="58.5" x14ac:dyDescent="0.25">
      <c r="A26" s="53" t="s">
        <v>25</v>
      </c>
      <c r="B26" s="54">
        <v>913</v>
      </c>
      <c r="C26" s="54" t="s">
        <v>143</v>
      </c>
      <c r="D26" s="52">
        <v>13473.8</v>
      </c>
      <c r="E26" s="52">
        <v>8327.5</v>
      </c>
      <c r="F26" s="52">
        <v>8327.5</v>
      </c>
      <c r="G26" s="77">
        <f t="shared" si="0"/>
        <v>0</v>
      </c>
    </row>
    <row r="27" spans="1:7" ht="39" x14ac:dyDescent="0.25">
      <c r="A27" s="53" t="s">
        <v>26</v>
      </c>
      <c r="B27" s="54">
        <v>913</v>
      </c>
      <c r="C27" s="54" t="s">
        <v>143</v>
      </c>
      <c r="D27" s="52">
        <v>803</v>
      </c>
      <c r="E27" s="52">
        <v>798.5</v>
      </c>
      <c r="F27" s="52">
        <f>798.5+49.4</f>
        <v>847.9</v>
      </c>
      <c r="G27" s="77">
        <f t="shared" si="0"/>
        <v>49.399999999999977</v>
      </c>
    </row>
    <row r="28" spans="1:7" ht="39" x14ac:dyDescent="0.25">
      <c r="A28" s="53" t="s">
        <v>27</v>
      </c>
      <c r="B28" s="54">
        <v>913</v>
      </c>
      <c r="C28" s="54" t="s">
        <v>128</v>
      </c>
      <c r="D28" s="52">
        <v>17403</v>
      </c>
      <c r="E28" s="52">
        <v>17339.7</v>
      </c>
      <c r="F28" s="52">
        <v>17339.7</v>
      </c>
      <c r="G28" s="77">
        <f t="shared" si="0"/>
        <v>0</v>
      </c>
    </row>
    <row r="29" spans="1:7" ht="58.5" x14ac:dyDescent="0.25">
      <c r="A29" s="53" t="s">
        <v>28</v>
      </c>
      <c r="B29" s="54">
        <v>913</v>
      </c>
      <c r="C29" s="54" t="s">
        <v>128</v>
      </c>
      <c r="D29" s="52">
        <v>7637.1</v>
      </c>
      <c r="E29" s="52">
        <f>7590.9-817.7</f>
        <v>6773.2</v>
      </c>
      <c r="F29" s="52">
        <f>7590.9-817.7</f>
        <v>6773.2</v>
      </c>
      <c r="G29" s="77">
        <f t="shared" si="0"/>
        <v>0</v>
      </c>
    </row>
    <row r="30" spans="1:7" ht="39" x14ac:dyDescent="0.25">
      <c r="A30" s="53" t="s">
        <v>29</v>
      </c>
      <c r="B30" s="54">
        <v>913</v>
      </c>
      <c r="C30" s="54" t="s">
        <v>128</v>
      </c>
      <c r="D30" s="52">
        <v>35178.400000000001</v>
      </c>
      <c r="E30" s="52">
        <f>34791-5183.7</f>
        <v>29607.3</v>
      </c>
      <c r="F30" s="52">
        <f>34791-5183.7</f>
        <v>29607.3</v>
      </c>
      <c r="G30" s="77">
        <f t="shared" si="0"/>
        <v>0</v>
      </c>
    </row>
    <row r="31" spans="1:7" ht="117" x14ac:dyDescent="0.25">
      <c r="A31" s="53" t="s">
        <v>116</v>
      </c>
      <c r="B31" s="54">
        <v>913</v>
      </c>
      <c r="C31" s="54" t="s">
        <v>144</v>
      </c>
      <c r="D31" s="52">
        <v>15581.5</v>
      </c>
      <c r="E31" s="52">
        <v>15493.4</v>
      </c>
      <c r="F31" s="52">
        <v>15493.4</v>
      </c>
      <c r="G31" s="77">
        <f t="shared" si="0"/>
        <v>0</v>
      </c>
    </row>
    <row r="32" spans="1:7" ht="78" x14ac:dyDescent="0.25">
      <c r="A32" s="53" t="s">
        <v>30</v>
      </c>
      <c r="B32" s="54">
        <v>913</v>
      </c>
      <c r="C32" s="54" t="s">
        <v>128</v>
      </c>
      <c r="D32" s="52">
        <v>10572.2</v>
      </c>
      <c r="E32" s="52">
        <v>10512.3</v>
      </c>
      <c r="F32" s="52">
        <v>10512.3</v>
      </c>
      <c r="G32" s="77">
        <f t="shared" si="0"/>
        <v>0</v>
      </c>
    </row>
    <row r="33" spans="1:7" ht="78" x14ac:dyDescent="0.25">
      <c r="A33" s="53" t="s">
        <v>31</v>
      </c>
      <c r="B33" s="54">
        <v>913</v>
      </c>
      <c r="C33" s="54" t="s">
        <v>128</v>
      </c>
      <c r="D33" s="52">
        <v>3608.3</v>
      </c>
      <c r="E33" s="52">
        <v>3589</v>
      </c>
      <c r="F33" s="52">
        <v>3589</v>
      </c>
      <c r="G33" s="77">
        <f t="shared" si="0"/>
        <v>0</v>
      </c>
    </row>
    <row r="34" spans="1:7" ht="97.5" hidden="1" x14ac:dyDescent="0.25">
      <c r="A34" s="53" t="s">
        <v>117</v>
      </c>
      <c r="B34" s="54">
        <v>913</v>
      </c>
      <c r="C34" s="54" t="s">
        <v>143</v>
      </c>
      <c r="D34" s="52"/>
      <c r="E34" s="52"/>
      <c r="F34" s="52"/>
      <c r="G34" s="77">
        <f t="shared" si="0"/>
        <v>0</v>
      </c>
    </row>
    <row r="35" spans="1:7" ht="78" hidden="1" x14ac:dyDescent="0.25">
      <c r="A35" s="53" t="s">
        <v>32</v>
      </c>
      <c r="B35" s="54">
        <v>913</v>
      </c>
      <c r="C35" s="54" t="s">
        <v>128</v>
      </c>
      <c r="D35" s="52"/>
      <c r="E35" s="52"/>
      <c r="F35" s="52"/>
      <c r="G35" s="77">
        <f t="shared" si="0"/>
        <v>0</v>
      </c>
    </row>
    <row r="36" spans="1:7" ht="117" hidden="1" x14ac:dyDescent="0.25">
      <c r="A36" s="53" t="s">
        <v>224</v>
      </c>
      <c r="B36" s="54">
        <v>913</v>
      </c>
      <c r="C36" s="54" t="s">
        <v>128</v>
      </c>
      <c r="D36" s="52"/>
      <c r="E36" s="52"/>
      <c r="F36" s="52"/>
      <c r="G36" s="77">
        <f t="shared" si="0"/>
        <v>0</v>
      </c>
    </row>
    <row r="37" spans="1:7" ht="78" x14ac:dyDescent="0.25">
      <c r="A37" s="53" t="s">
        <v>33</v>
      </c>
      <c r="B37" s="54">
        <v>907</v>
      </c>
      <c r="C37" s="54" t="s">
        <v>128</v>
      </c>
      <c r="D37" s="52">
        <v>15761.7</v>
      </c>
      <c r="E37" s="52">
        <v>15761.7</v>
      </c>
      <c r="F37" s="52">
        <v>15761.7</v>
      </c>
      <c r="G37" s="77">
        <f t="shared" si="0"/>
        <v>0</v>
      </c>
    </row>
    <row r="38" spans="1:7" ht="78" x14ac:dyDescent="0.25">
      <c r="A38" s="53" t="s">
        <v>34</v>
      </c>
      <c r="B38" s="54">
        <v>907</v>
      </c>
      <c r="C38" s="54" t="s">
        <v>128</v>
      </c>
      <c r="D38" s="52">
        <v>60</v>
      </c>
      <c r="E38" s="52">
        <v>60</v>
      </c>
      <c r="F38" s="52">
        <v>60</v>
      </c>
      <c r="G38" s="77">
        <f t="shared" si="0"/>
        <v>0</v>
      </c>
    </row>
    <row r="39" spans="1:7" ht="117" x14ac:dyDescent="0.25">
      <c r="A39" s="53" t="s">
        <v>35</v>
      </c>
      <c r="B39" s="54">
        <v>907</v>
      </c>
      <c r="C39" s="54" t="s">
        <v>128</v>
      </c>
      <c r="D39" s="52">
        <v>37381.199999999997</v>
      </c>
      <c r="E39" s="52">
        <v>37194.199999999997</v>
      </c>
      <c r="F39" s="52">
        <v>37194.199999999997</v>
      </c>
      <c r="G39" s="77">
        <f t="shared" si="0"/>
        <v>0</v>
      </c>
    </row>
    <row r="40" spans="1:7" ht="156" x14ac:dyDescent="0.25">
      <c r="A40" s="53" t="s">
        <v>36</v>
      </c>
      <c r="B40" s="54">
        <v>913</v>
      </c>
      <c r="C40" s="54" t="s">
        <v>128</v>
      </c>
      <c r="D40" s="52">
        <v>69918.100000000006</v>
      </c>
      <c r="E40" s="52">
        <f>52748.5-150.3</f>
        <v>52598.2</v>
      </c>
      <c r="F40" s="52">
        <f>52748.5-150.3</f>
        <v>52598.2</v>
      </c>
      <c r="G40" s="77">
        <f t="shared" si="0"/>
        <v>0</v>
      </c>
    </row>
    <row r="41" spans="1:7" ht="39" hidden="1" x14ac:dyDescent="0.25">
      <c r="A41" s="53" t="s">
        <v>37</v>
      </c>
      <c r="B41" s="54">
        <v>913</v>
      </c>
      <c r="C41" s="54" t="s">
        <v>128</v>
      </c>
      <c r="D41" s="52">
        <v>77540.399999999994</v>
      </c>
      <c r="E41" s="52">
        <v>0</v>
      </c>
      <c r="F41" s="52">
        <v>0</v>
      </c>
      <c r="G41" s="77">
        <f t="shared" si="0"/>
        <v>0</v>
      </c>
    </row>
    <row r="42" spans="1:7" ht="58.5" x14ac:dyDescent="0.25">
      <c r="A42" s="53" t="s">
        <v>118</v>
      </c>
      <c r="B42" s="54">
        <v>913</v>
      </c>
      <c r="C42" s="54" t="s">
        <v>129</v>
      </c>
      <c r="D42" s="52">
        <v>28323.8</v>
      </c>
      <c r="E42" s="52">
        <v>28370.3</v>
      </c>
      <c r="F42" s="52">
        <v>28370.3</v>
      </c>
      <c r="G42" s="77">
        <f t="shared" si="0"/>
        <v>0</v>
      </c>
    </row>
    <row r="43" spans="1:7" ht="58.5" x14ac:dyDescent="0.25">
      <c r="A43" s="53" t="s">
        <v>119</v>
      </c>
      <c r="B43" s="54">
        <v>914</v>
      </c>
      <c r="C43" s="54" t="s">
        <v>136</v>
      </c>
      <c r="D43" s="52">
        <v>4311.3</v>
      </c>
      <c r="E43" s="52">
        <v>4304.8999999999996</v>
      </c>
      <c r="F43" s="52">
        <v>4304.8999999999996</v>
      </c>
      <c r="G43" s="77">
        <f t="shared" si="0"/>
        <v>0</v>
      </c>
    </row>
    <row r="44" spans="1:7" ht="39" hidden="1" x14ac:dyDescent="0.25">
      <c r="A44" s="53" t="s">
        <v>38</v>
      </c>
      <c r="B44" s="54">
        <v>907</v>
      </c>
      <c r="C44" s="54" t="s">
        <v>128</v>
      </c>
      <c r="D44" s="52"/>
      <c r="E44" s="52"/>
      <c r="F44" s="52"/>
      <c r="G44" s="77">
        <f t="shared" si="0"/>
        <v>0</v>
      </c>
    </row>
    <row r="45" spans="1:7" ht="102.75" customHeight="1" x14ac:dyDescent="0.25">
      <c r="A45" s="53" t="s">
        <v>220</v>
      </c>
      <c r="B45" s="54">
        <v>913</v>
      </c>
      <c r="C45" s="54" t="s">
        <v>143</v>
      </c>
      <c r="D45" s="52">
        <v>40891.4</v>
      </c>
      <c r="E45" s="52">
        <v>33761.4</v>
      </c>
      <c r="F45" s="52">
        <v>33761.4</v>
      </c>
      <c r="G45" s="77">
        <f t="shared" si="0"/>
        <v>0</v>
      </c>
    </row>
    <row r="46" spans="1:7" ht="65.25" customHeight="1" x14ac:dyDescent="0.25">
      <c r="A46" s="53" t="s">
        <v>221</v>
      </c>
      <c r="B46" s="54">
        <v>913</v>
      </c>
      <c r="C46" s="54" t="s">
        <v>143</v>
      </c>
      <c r="D46" s="52">
        <v>587.20000000000005</v>
      </c>
      <c r="E46" s="52">
        <v>583.79999999999995</v>
      </c>
      <c r="F46" s="52">
        <v>583.79999999999995</v>
      </c>
      <c r="G46" s="77">
        <f t="shared" si="0"/>
        <v>0</v>
      </c>
    </row>
    <row r="47" spans="1:7" ht="84" customHeight="1" x14ac:dyDescent="0.25">
      <c r="A47" s="53" t="s">
        <v>222</v>
      </c>
      <c r="B47" s="54">
        <v>913</v>
      </c>
      <c r="C47" s="54" t="s">
        <v>143</v>
      </c>
      <c r="D47" s="52">
        <v>590.9</v>
      </c>
      <c r="E47" s="52">
        <v>589.29999999999995</v>
      </c>
      <c r="F47" s="52">
        <v>589.29999999999995</v>
      </c>
      <c r="G47" s="77">
        <f t="shared" si="0"/>
        <v>0</v>
      </c>
    </row>
    <row r="48" spans="1:7" ht="118.5" customHeight="1" x14ac:dyDescent="0.25">
      <c r="A48" s="53" t="s">
        <v>223</v>
      </c>
      <c r="B48" s="54">
        <v>913</v>
      </c>
      <c r="C48" s="54" t="s">
        <v>143</v>
      </c>
      <c r="D48" s="52">
        <v>12557</v>
      </c>
      <c r="E48" s="52">
        <v>12519.1</v>
      </c>
      <c r="F48" s="52">
        <v>12519.1</v>
      </c>
      <c r="G48" s="77">
        <f t="shared" si="0"/>
        <v>0</v>
      </c>
    </row>
    <row r="49" spans="1:7" ht="78" x14ac:dyDescent="0.25">
      <c r="A49" s="53" t="s">
        <v>86</v>
      </c>
      <c r="B49" s="54">
        <v>913</v>
      </c>
      <c r="C49" s="54" t="s">
        <v>128</v>
      </c>
      <c r="D49" s="52">
        <v>212571.1</v>
      </c>
      <c r="E49" s="52">
        <f>98866.5+3528</f>
        <v>102394.5</v>
      </c>
      <c r="F49" s="52">
        <f>98866.5+3528</f>
        <v>102394.5</v>
      </c>
      <c r="G49" s="77">
        <f t="shared" si="0"/>
        <v>0</v>
      </c>
    </row>
    <row r="50" spans="1:7" ht="68.25" customHeight="1" x14ac:dyDescent="0.25">
      <c r="A50" s="53" t="s">
        <v>375</v>
      </c>
      <c r="B50" s="54"/>
      <c r="C50" s="54"/>
      <c r="D50" s="52"/>
      <c r="E50" s="52">
        <v>0</v>
      </c>
      <c r="F50" s="52">
        <v>13942.7</v>
      </c>
      <c r="G50" s="77">
        <f t="shared" si="0"/>
        <v>13942.7</v>
      </c>
    </row>
    <row r="51" spans="1:7" ht="59.25" customHeight="1" x14ac:dyDescent="0.25">
      <c r="A51" s="53" t="s">
        <v>383</v>
      </c>
      <c r="B51" s="54">
        <v>913</v>
      </c>
      <c r="C51" s="54">
        <v>1004</v>
      </c>
      <c r="D51" s="52">
        <v>0</v>
      </c>
      <c r="E51" s="52">
        <v>141.69999999999999</v>
      </c>
      <c r="F51" s="52">
        <f>141.7+4.1</f>
        <v>145.79999999999998</v>
      </c>
      <c r="G51" s="77">
        <f t="shared" si="0"/>
        <v>4.0999999999999943</v>
      </c>
    </row>
    <row r="52" spans="1:7" ht="58.5" customHeight="1" x14ac:dyDescent="0.25">
      <c r="A52" s="36" t="s">
        <v>4</v>
      </c>
      <c r="B52" s="36" t="s">
        <v>87</v>
      </c>
      <c r="C52" s="36" t="s">
        <v>87</v>
      </c>
      <c r="D52" s="188">
        <f>SUM(D5:D51)</f>
        <v>1582802.0999999999</v>
      </c>
      <c r="E52" s="188">
        <f>SUM(E5:E51)</f>
        <v>1424151.9999999998</v>
      </c>
      <c r="F52" s="188">
        <f>SUM(F5:F51)</f>
        <v>1439195.1999999997</v>
      </c>
      <c r="G52" s="78">
        <f>F52-E52</f>
        <v>15043.199999999953</v>
      </c>
    </row>
    <row r="53" spans="1:7" s="184" customFormat="1" x14ac:dyDescent="0.25">
      <c r="A53" s="1"/>
      <c r="B53" s="1"/>
      <c r="C53" s="1"/>
      <c r="D53" s="2"/>
      <c r="E53" s="2"/>
      <c r="F53" s="2"/>
      <c r="G53" s="2"/>
    </row>
    <row r="56" spans="1:7" ht="39" x14ac:dyDescent="0.25">
      <c r="A56" s="189" t="s">
        <v>5</v>
      </c>
      <c r="B56" s="184"/>
      <c r="C56" s="184"/>
      <c r="D56" s="190"/>
      <c r="E56" s="190"/>
      <c r="F56" s="190"/>
      <c r="G56" s="190" t="s">
        <v>6</v>
      </c>
    </row>
    <row r="57" spans="1:7" s="184" customFormat="1" x14ac:dyDescent="0.25">
      <c r="A57" s="1"/>
      <c r="B57" s="1"/>
      <c r="C57" s="1"/>
      <c r="D57" s="2"/>
      <c r="E57" s="2"/>
      <c r="F57" s="2"/>
      <c r="G57" s="2"/>
    </row>
    <row r="59" spans="1:7" hidden="1" x14ac:dyDescent="0.25">
      <c r="D59" s="2">
        <v>1324044.1000000001</v>
      </c>
      <c r="E59" s="2">
        <v>1324044.1000000001</v>
      </c>
      <c r="G59" s="2">
        <v>1324044.1000000001</v>
      </c>
    </row>
    <row r="60" spans="1:7" hidden="1" x14ac:dyDescent="0.25">
      <c r="D60" s="2">
        <f>D59-D52</f>
        <v>-258757.99999999977</v>
      </c>
      <c r="E60" s="2">
        <f>E59-E52</f>
        <v>-100107.89999999967</v>
      </c>
      <c r="G60" s="2">
        <f>G59-G52</f>
        <v>1309000.9000000001</v>
      </c>
    </row>
    <row r="61" spans="1:7" hidden="1" x14ac:dyDescent="0.25"/>
    <row r="62" spans="1:7" hidden="1" x14ac:dyDescent="0.25"/>
    <row r="63" spans="1:7" hidden="1" x14ac:dyDescent="0.25">
      <c r="B63" s="1">
        <v>902</v>
      </c>
      <c r="C63" s="1" t="s">
        <v>138</v>
      </c>
      <c r="D63" s="2">
        <f>D5+D6+D7</f>
        <v>1367.6</v>
      </c>
      <c r="E63" s="2">
        <f>E5+E6+E7</f>
        <v>1365.6</v>
      </c>
      <c r="G63" s="2">
        <f>G5+G6+G7</f>
        <v>0</v>
      </c>
    </row>
    <row r="64" spans="1:7" hidden="1" x14ac:dyDescent="0.25">
      <c r="B64" s="1">
        <v>902</v>
      </c>
      <c r="C64" s="1" t="s">
        <v>139</v>
      </c>
      <c r="D64" s="2">
        <f>D8</f>
        <v>11.7</v>
      </c>
      <c r="E64" s="2">
        <f>E8</f>
        <v>3.7</v>
      </c>
      <c r="G64" s="2">
        <f>G8</f>
        <v>0</v>
      </c>
    </row>
    <row r="65" spans="2:7" hidden="1" x14ac:dyDescent="0.25">
      <c r="B65" s="1">
        <v>902</v>
      </c>
      <c r="C65" s="1" t="s">
        <v>136</v>
      </c>
      <c r="D65" s="2">
        <f>D10</f>
        <v>168.7</v>
      </c>
      <c r="E65" s="2">
        <f>E10</f>
        <v>168.7</v>
      </c>
      <c r="G65" s="2">
        <f>G10</f>
        <v>0</v>
      </c>
    </row>
    <row r="66" spans="2:7" hidden="1" x14ac:dyDescent="0.25">
      <c r="B66" s="1">
        <v>902</v>
      </c>
      <c r="C66" s="1" t="s">
        <v>140</v>
      </c>
      <c r="D66" s="2">
        <f>D11+D12</f>
        <v>5802.3</v>
      </c>
      <c r="E66" s="2">
        <f>E11+E12</f>
        <v>5501</v>
      </c>
      <c r="G66" s="2">
        <f>G11+G12</f>
        <v>0</v>
      </c>
    </row>
    <row r="67" spans="2:7" hidden="1" x14ac:dyDescent="0.25">
      <c r="B67" s="1">
        <v>902</v>
      </c>
      <c r="C67" s="1" t="s">
        <v>128</v>
      </c>
      <c r="D67" s="2">
        <f>D13</f>
        <v>28525.200000000001</v>
      </c>
      <c r="E67" s="2">
        <f>E13</f>
        <v>59904.700000000004</v>
      </c>
      <c r="G67" s="2">
        <f>G13</f>
        <v>0</v>
      </c>
    </row>
    <row r="68" spans="2:7" hidden="1" x14ac:dyDescent="0.25"/>
    <row r="69" spans="2:7" hidden="1" x14ac:dyDescent="0.25">
      <c r="B69" s="1">
        <v>907</v>
      </c>
      <c r="C69" s="1" t="s">
        <v>145</v>
      </c>
      <c r="D69" s="2">
        <f>D14</f>
        <v>782067.3</v>
      </c>
      <c r="E69" s="2">
        <f>E14</f>
        <v>812339.7</v>
      </c>
      <c r="G69" s="2">
        <f>G14</f>
        <v>0</v>
      </c>
    </row>
    <row r="70" spans="2:7" hidden="1" x14ac:dyDescent="0.25">
      <c r="B70" s="1">
        <v>907</v>
      </c>
      <c r="C70" s="1" t="s">
        <v>125</v>
      </c>
      <c r="D70" s="2" t="e">
        <f>#REF!</f>
        <v>#REF!</v>
      </c>
      <c r="E70" s="2" t="e">
        <f>#REF!</f>
        <v>#REF!</v>
      </c>
      <c r="G70" s="2" t="e">
        <f>#REF!</f>
        <v>#REF!</v>
      </c>
    </row>
    <row r="71" spans="2:7" hidden="1" x14ac:dyDescent="0.25">
      <c r="B71" s="1">
        <v>907</v>
      </c>
      <c r="C71" s="1" t="s">
        <v>124</v>
      </c>
      <c r="D71" s="2" t="e">
        <f>#REF!</f>
        <v>#REF!</v>
      </c>
      <c r="E71" s="2" t="e">
        <f>#REF!</f>
        <v>#REF!</v>
      </c>
      <c r="G71" s="2" t="e">
        <f>#REF!</f>
        <v>#REF!</v>
      </c>
    </row>
    <row r="72" spans="2:7" hidden="1" x14ac:dyDescent="0.25">
      <c r="B72" s="1">
        <v>907</v>
      </c>
      <c r="C72" s="1" t="s">
        <v>131</v>
      </c>
    </row>
    <row r="73" spans="2:7" hidden="1" x14ac:dyDescent="0.25">
      <c r="B73" s="1">
        <v>907</v>
      </c>
      <c r="C73" s="1" t="s">
        <v>144</v>
      </c>
      <c r="D73" s="2">
        <f>D15</f>
        <v>3307.6</v>
      </c>
      <c r="E73" s="2">
        <f>E15</f>
        <v>3302.7</v>
      </c>
      <c r="G73" s="2">
        <f>G15</f>
        <v>0</v>
      </c>
    </row>
    <row r="74" spans="2:7" hidden="1" x14ac:dyDescent="0.25">
      <c r="B74" s="1">
        <v>907</v>
      </c>
      <c r="C74" s="1" t="s">
        <v>128</v>
      </c>
      <c r="D74" s="2">
        <f>D37+D38+D39+D44</f>
        <v>53202.899999999994</v>
      </c>
      <c r="E74" s="2">
        <f>E37+E38+E39+E44</f>
        <v>53015.899999999994</v>
      </c>
      <c r="G74" s="2">
        <f>G37+G38+G39+G44</f>
        <v>0</v>
      </c>
    </row>
    <row r="75" spans="2:7" hidden="1" x14ac:dyDescent="0.25"/>
    <row r="76" spans="2:7" hidden="1" x14ac:dyDescent="0.25">
      <c r="B76" s="1">
        <v>913</v>
      </c>
      <c r="C76" s="1" t="s">
        <v>131</v>
      </c>
      <c r="D76" s="2">
        <f>D31</f>
        <v>15581.5</v>
      </c>
      <c r="E76" s="2">
        <f>E31</f>
        <v>15493.4</v>
      </c>
      <c r="G76" s="2">
        <f>G31</f>
        <v>0</v>
      </c>
    </row>
    <row r="77" spans="2:7" hidden="1" x14ac:dyDescent="0.25">
      <c r="B77" s="1">
        <v>913</v>
      </c>
      <c r="C77" s="1" t="s">
        <v>142</v>
      </c>
      <c r="D77" s="2">
        <f>D17</f>
        <v>55679.9</v>
      </c>
      <c r="E77" s="2">
        <f>E17</f>
        <v>56202.400000000001</v>
      </c>
      <c r="G77" s="2">
        <f>G17</f>
        <v>0</v>
      </c>
    </row>
    <row r="78" spans="2:7" hidden="1" x14ac:dyDescent="0.25">
      <c r="B78" s="1">
        <v>913</v>
      </c>
      <c r="C78" s="1" t="s">
        <v>143</v>
      </c>
      <c r="D78" s="2">
        <f>D18+D19+D20+D21+D22+D23+D24+D25+D26+D27+D34+D49</f>
        <v>324748.7</v>
      </c>
      <c r="E78" s="2">
        <f>E18+E19+E20+E21+E22+E23+E24+E25+E26+E27+E34+E49</f>
        <v>213022.1</v>
      </c>
      <c r="G78" s="2">
        <f>G18+G19+G20+G21+G22+G23+G24+G25+G26+G27+G34+G49</f>
        <v>1096.4000000000001</v>
      </c>
    </row>
    <row r="79" spans="2:7" hidden="1" x14ac:dyDescent="0.25">
      <c r="B79" s="1">
        <v>913</v>
      </c>
      <c r="C79" s="1" t="s">
        <v>128</v>
      </c>
      <c r="D79" s="2">
        <f>D28+D29+D30+D32+D33+D35+D36+D40+D41</f>
        <v>221857.5</v>
      </c>
      <c r="E79" s="2">
        <f>E28+E29+E30+E32+E33+E35+E36+E40+E41</f>
        <v>120419.7</v>
      </c>
      <c r="G79" s="2">
        <f>G28+G29+G30+G32+G33+G35+G36+G40+G41</f>
        <v>0</v>
      </c>
    </row>
    <row r="80" spans="2:7" hidden="1" x14ac:dyDescent="0.25">
      <c r="B80" s="1">
        <v>913</v>
      </c>
      <c r="C80" s="1" t="s">
        <v>129</v>
      </c>
      <c r="D80" s="2">
        <f>D42</f>
        <v>28323.8</v>
      </c>
      <c r="E80" s="2">
        <f>E42</f>
        <v>28370.3</v>
      </c>
      <c r="G80" s="2">
        <f>G42</f>
        <v>0</v>
      </c>
    </row>
    <row r="81" spans="2:7" hidden="1" x14ac:dyDescent="0.25"/>
    <row r="82" spans="2:7" hidden="1" x14ac:dyDescent="0.25">
      <c r="B82" s="1">
        <v>914</v>
      </c>
      <c r="C82" s="1" t="s">
        <v>136</v>
      </c>
      <c r="D82" s="2">
        <f>D43</f>
        <v>4311.3</v>
      </c>
      <c r="E82" s="2">
        <f>E43</f>
        <v>4304.8999999999996</v>
      </c>
      <c r="G82" s="2">
        <f>G43</f>
        <v>0</v>
      </c>
    </row>
    <row r="83" spans="2:7" hidden="1" x14ac:dyDescent="0.25">
      <c r="B83" s="1">
        <v>914</v>
      </c>
      <c r="C83" s="1" t="s">
        <v>141</v>
      </c>
      <c r="D83" s="2">
        <f>D16</f>
        <v>0</v>
      </c>
      <c r="E83" s="2">
        <f>E16</f>
        <v>0</v>
      </c>
      <c r="G83" s="2">
        <f>G16</f>
        <v>0</v>
      </c>
    </row>
    <row r="84" spans="2:7" hidden="1" x14ac:dyDescent="0.25"/>
    <row r="85" spans="2:7" hidden="1" x14ac:dyDescent="0.25">
      <c r="B85" s="1">
        <v>917</v>
      </c>
      <c r="C85" s="1" t="s">
        <v>136</v>
      </c>
      <c r="D85" s="2">
        <f>D9</f>
        <v>3219.6</v>
      </c>
      <c r="E85" s="2">
        <f>E9</f>
        <v>3141.9</v>
      </c>
      <c r="G85" s="2">
        <f>G9</f>
        <v>0</v>
      </c>
    </row>
    <row r="86" spans="2:7" hidden="1" x14ac:dyDescent="0.25"/>
    <row r="87" spans="2:7" hidden="1" x14ac:dyDescent="0.25">
      <c r="D87" s="2" t="e">
        <f>SUBTOTAL(9,D63:D85)</f>
        <v>#REF!</v>
      </c>
      <c r="E87" s="2" t="e">
        <f>SUBTOTAL(9,E63:E85)</f>
        <v>#REF!</v>
      </c>
      <c r="G87" s="2" t="e">
        <f>SUBTOTAL(9,G63:G85)</f>
        <v>#REF!</v>
      </c>
    </row>
    <row r="88" spans="2:7" hidden="1" x14ac:dyDescent="0.25">
      <c r="D88" s="2" t="e">
        <f>D87-D59</f>
        <v>#REF!</v>
      </c>
      <c r="E88" s="2" t="e">
        <f>E87-E59</f>
        <v>#REF!</v>
      </c>
      <c r="G88" s="2" t="e">
        <f>G87-G59</f>
        <v>#REF!</v>
      </c>
    </row>
    <row r="89" spans="2:7" hidden="1" x14ac:dyDescent="0.25"/>
    <row r="90" spans="2:7" hidden="1" x14ac:dyDescent="0.25"/>
    <row r="91" spans="2:7" hidden="1" x14ac:dyDescent="0.25">
      <c r="D91" s="2">
        <v>1324044.1000000001</v>
      </c>
      <c r="E91" s="2">
        <v>1516943.6999999993</v>
      </c>
    </row>
    <row r="92" spans="2:7" hidden="1" x14ac:dyDescent="0.25">
      <c r="D92" s="2">
        <f>D91-D52</f>
        <v>-258757.99999999977</v>
      </c>
      <c r="E92" s="2">
        <f>E91-E52</f>
        <v>92791.699999999488</v>
      </c>
    </row>
    <row r="93" spans="2:7" hidden="1" x14ac:dyDescent="0.25"/>
    <row r="94" spans="2:7" hidden="1" x14ac:dyDescent="0.25"/>
    <row r="95" spans="2:7" hidden="1" x14ac:dyDescent="0.25"/>
    <row r="99" spans="2:3" x14ac:dyDescent="0.25">
      <c r="B99" s="191"/>
      <c r="C99" s="191"/>
    </row>
  </sheetData>
  <mergeCells count="3">
    <mergeCell ref="A2:G2"/>
    <mergeCell ref="A3:G3"/>
    <mergeCell ref="A1:G1"/>
  </mergeCells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view="pageBreakPreview" topLeftCell="A50" zoomScale="60" zoomScaleNormal="85" workbookViewId="0">
      <selection activeCell="K54" sqref="K54"/>
    </sheetView>
  </sheetViews>
  <sheetFormatPr defaultRowHeight="19.5" x14ac:dyDescent="0.25"/>
  <cols>
    <col min="1" max="1" width="75.7109375" style="37" customWidth="1"/>
    <col min="2" max="2" width="8.5703125" style="37" hidden="1" customWidth="1"/>
    <col min="3" max="3" width="10.140625" style="37" hidden="1" customWidth="1"/>
    <col min="4" max="4" width="21.7109375" style="29" hidden="1" customWidth="1"/>
    <col min="5" max="7" width="21.7109375" style="29" customWidth="1"/>
    <col min="8" max="8" width="9.140625" style="37" customWidth="1"/>
    <col min="9" max="9" width="21.7109375" style="29" hidden="1" customWidth="1"/>
    <col min="10" max="12" width="21.7109375" style="29" customWidth="1"/>
    <col min="13" max="16384" width="9.140625" style="37"/>
  </cols>
  <sheetData>
    <row r="1" spans="1:12" x14ac:dyDescent="0.25">
      <c r="A1" s="209" t="s">
        <v>66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12" s="87" customFormat="1" ht="58.5" customHeight="1" x14ac:dyDescent="0.25">
      <c r="A2" s="207" t="s">
        <v>244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s="87" customFormat="1" ht="20.25" x14ac:dyDescent="0.25">
      <c r="A3" s="208" t="s">
        <v>0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2" s="87" customFormat="1" ht="136.5" x14ac:dyDescent="0.25">
      <c r="A4" s="38" t="s">
        <v>1</v>
      </c>
      <c r="B4" s="38" t="s">
        <v>85</v>
      </c>
      <c r="C4" s="38" t="s">
        <v>122</v>
      </c>
      <c r="D4" s="51" t="s">
        <v>317</v>
      </c>
      <c r="E4" s="51" t="s">
        <v>344</v>
      </c>
      <c r="F4" s="51" t="s">
        <v>345</v>
      </c>
      <c r="G4" s="51" t="s">
        <v>196</v>
      </c>
      <c r="I4" s="51" t="s">
        <v>319</v>
      </c>
      <c r="J4" s="51" t="s">
        <v>343</v>
      </c>
      <c r="K4" s="51" t="s">
        <v>346</v>
      </c>
      <c r="L4" s="51" t="s">
        <v>196</v>
      </c>
    </row>
    <row r="5" spans="1:12" ht="39" x14ac:dyDescent="0.25">
      <c r="A5" s="55" t="s">
        <v>42</v>
      </c>
      <c r="B5" s="56">
        <v>902</v>
      </c>
      <c r="C5" s="56" t="s">
        <v>138</v>
      </c>
      <c r="D5" s="57">
        <v>722.5</v>
      </c>
      <c r="E5" s="57">
        <v>718.6</v>
      </c>
      <c r="F5" s="57">
        <v>718.6</v>
      </c>
      <c r="G5" s="77">
        <f>F5-E5</f>
        <v>0</v>
      </c>
      <c r="I5" s="57">
        <v>750.5</v>
      </c>
      <c r="J5" s="57">
        <v>746.3</v>
      </c>
      <c r="K5" s="57">
        <v>746.3</v>
      </c>
      <c r="L5" s="77">
        <f>K5-J5</f>
        <v>0</v>
      </c>
    </row>
    <row r="6" spans="1:12" ht="58.5" x14ac:dyDescent="0.25">
      <c r="A6" s="55" t="s">
        <v>43</v>
      </c>
      <c r="B6" s="56">
        <v>902</v>
      </c>
      <c r="C6" s="56" t="s">
        <v>138</v>
      </c>
      <c r="D6" s="57">
        <v>718.2</v>
      </c>
      <c r="E6" s="57">
        <v>714.3</v>
      </c>
      <c r="F6" s="57">
        <v>714.3</v>
      </c>
      <c r="G6" s="77">
        <f t="shared" ref="G6:G53" si="0">F6-E6</f>
        <v>0</v>
      </c>
      <c r="I6" s="57">
        <v>746.2</v>
      </c>
      <c r="J6" s="57">
        <v>742</v>
      </c>
      <c r="K6" s="57">
        <v>742</v>
      </c>
      <c r="L6" s="77">
        <f t="shared" ref="L6:L53" si="1">K6-J6</f>
        <v>0</v>
      </c>
    </row>
    <row r="7" spans="1:12" ht="117" x14ac:dyDescent="0.25">
      <c r="A7" s="55" t="s">
        <v>10</v>
      </c>
      <c r="B7" s="56">
        <v>902</v>
      </c>
      <c r="C7" s="56" t="s">
        <v>138</v>
      </c>
      <c r="D7" s="57">
        <v>0.3</v>
      </c>
      <c r="E7" s="57">
        <v>0.3</v>
      </c>
      <c r="F7" s="57">
        <v>0.3</v>
      </c>
      <c r="G7" s="77">
        <f t="shared" si="0"/>
        <v>0</v>
      </c>
      <c r="I7" s="57">
        <v>0.3</v>
      </c>
      <c r="J7" s="57">
        <v>0.3</v>
      </c>
      <c r="K7" s="57">
        <v>0.3</v>
      </c>
      <c r="L7" s="77">
        <f t="shared" si="1"/>
        <v>0</v>
      </c>
    </row>
    <row r="8" spans="1:12" ht="170.25" customHeight="1" x14ac:dyDescent="0.25">
      <c r="A8" s="55" t="s">
        <v>120</v>
      </c>
      <c r="B8" s="56">
        <v>902</v>
      </c>
      <c r="C8" s="56" t="s">
        <v>139</v>
      </c>
      <c r="D8" s="57">
        <v>10.5</v>
      </c>
      <c r="E8" s="57">
        <v>3.9</v>
      </c>
      <c r="F8" s="57">
        <v>3.9</v>
      </c>
      <c r="G8" s="77">
        <f t="shared" si="0"/>
        <v>0</v>
      </c>
      <c r="I8" s="57">
        <v>0</v>
      </c>
      <c r="J8" s="57">
        <v>3.5</v>
      </c>
      <c r="K8" s="57">
        <v>3.5</v>
      </c>
      <c r="L8" s="77">
        <f t="shared" si="1"/>
        <v>0</v>
      </c>
    </row>
    <row r="9" spans="1:12" ht="78" hidden="1" x14ac:dyDescent="0.25">
      <c r="A9" s="55" t="s">
        <v>121</v>
      </c>
      <c r="B9" s="56">
        <v>902</v>
      </c>
      <c r="C9" s="56" t="s">
        <v>136</v>
      </c>
      <c r="D9" s="57"/>
      <c r="E9" s="57"/>
      <c r="F9" s="57"/>
      <c r="G9" s="77">
        <f t="shared" si="0"/>
        <v>0</v>
      </c>
      <c r="I9" s="57"/>
      <c r="J9" s="57"/>
      <c r="K9" s="57"/>
      <c r="L9" s="77">
        <f t="shared" si="1"/>
        <v>0</v>
      </c>
    </row>
    <row r="10" spans="1:12" ht="285.75" hidden="1" customHeight="1" x14ac:dyDescent="0.25">
      <c r="A10" s="55" t="s">
        <v>16</v>
      </c>
      <c r="B10" s="56">
        <v>914</v>
      </c>
      <c r="C10" s="56" t="s">
        <v>141</v>
      </c>
      <c r="D10" s="57"/>
      <c r="E10" s="57"/>
      <c r="F10" s="57"/>
      <c r="G10" s="77">
        <f t="shared" si="0"/>
        <v>0</v>
      </c>
      <c r="I10" s="57"/>
      <c r="J10" s="57"/>
      <c r="K10" s="57"/>
      <c r="L10" s="77">
        <f t="shared" si="1"/>
        <v>0</v>
      </c>
    </row>
    <row r="11" spans="1:12" ht="201.75" customHeight="1" x14ac:dyDescent="0.25">
      <c r="A11" s="210" t="s">
        <v>14</v>
      </c>
      <c r="B11" s="56">
        <v>907</v>
      </c>
      <c r="C11" s="56" t="s">
        <v>145</v>
      </c>
      <c r="D11" s="57">
        <v>825111.2</v>
      </c>
      <c r="E11" s="57">
        <v>838884.1</v>
      </c>
      <c r="F11" s="57">
        <v>838884.1</v>
      </c>
      <c r="G11" s="77">
        <f t="shared" si="0"/>
        <v>0</v>
      </c>
      <c r="I11" s="57">
        <v>858745.2</v>
      </c>
      <c r="J11" s="57">
        <v>893999.4</v>
      </c>
      <c r="K11" s="57">
        <v>893999.4</v>
      </c>
      <c r="L11" s="77">
        <f t="shared" si="1"/>
        <v>0</v>
      </c>
    </row>
    <row r="12" spans="1:12" ht="72.75" hidden="1" customHeight="1" x14ac:dyDescent="0.25">
      <c r="A12" s="211"/>
      <c r="B12" s="56">
        <v>907</v>
      </c>
      <c r="C12" s="56" t="s">
        <v>125</v>
      </c>
      <c r="D12" s="57"/>
      <c r="E12" s="57"/>
      <c r="F12" s="57"/>
      <c r="G12" s="77">
        <f t="shared" si="0"/>
        <v>0</v>
      </c>
      <c r="I12" s="57"/>
      <c r="J12" s="57"/>
      <c r="K12" s="57"/>
      <c r="L12" s="77">
        <f t="shared" si="1"/>
        <v>0</v>
      </c>
    </row>
    <row r="13" spans="1:12" ht="72.75" hidden="1" customHeight="1" x14ac:dyDescent="0.25">
      <c r="A13" s="212"/>
      <c r="B13" s="56">
        <v>907</v>
      </c>
      <c r="C13" s="56" t="s">
        <v>124</v>
      </c>
      <c r="D13" s="57"/>
      <c r="E13" s="57"/>
      <c r="F13" s="57"/>
      <c r="G13" s="77">
        <f t="shared" si="0"/>
        <v>0</v>
      </c>
      <c r="I13" s="57"/>
      <c r="J13" s="57"/>
      <c r="K13" s="57"/>
      <c r="L13" s="77">
        <f t="shared" si="1"/>
        <v>0</v>
      </c>
    </row>
    <row r="14" spans="1:12" ht="117" customHeight="1" x14ac:dyDescent="0.25">
      <c r="A14" s="55" t="s">
        <v>15</v>
      </c>
      <c r="B14" s="56">
        <v>907</v>
      </c>
      <c r="C14" s="56" t="s">
        <v>144</v>
      </c>
      <c r="D14" s="57">
        <v>3491.2</v>
      </c>
      <c r="E14" s="57">
        <v>3471.5</v>
      </c>
      <c r="F14" s="57">
        <v>3471.5</v>
      </c>
      <c r="G14" s="77">
        <f t="shared" si="0"/>
        <v>0</v>
      </c>
      <c r="I14" s="57">
        <v>3630.8</v>
      </c>
      <c r="J14" s="57">
        <v>3610.4</v>
      </c>
      <c r="K14" s="57">
        <v>3610.4</v>
      </c>
      <c r="L14" s="77">
        <f t="shared" si="1"/>
        <v>0</v>
      </c>
    </row>
    <row r="15" spans="1:12" ht="39" hidden="1" x14ac:dyDescent="0.25">
      <c r="A15" s="55" t="s">
        <v>88</v>
      </c>
      <c r="B15" s="56">
        <v>907</v>
      </c>
      <c r="C15" s="56" t="s">
        <v>128</v>
      </c>
      <c r="D15" s="57"/>
      <c r="E15" s="57"/>
      <c r="F15" s="57"/>
      <c r="G15" s="77">
        <f t="shared" si="0"/>
        <v>0</v>
      </c>
      <c r="I15" s="57"/>
      <c r="J15" s="57"/>
      <c r="K15" s="57"/>
      <c r="L15" s="77">
        <f t="shared" si="1"/>
        <v>0</v>
      </c>
    </row>
    <row r="16" spans="1:12" ht="78" x14ac:dyDescent="0.25">
      <c r="A16" s="55" t="s">
        <v>44</v>
      </c>
      <c r="B16" s="56">
        <v>907</v>
      </c>
      <c r="C16" s="56" t="s">
        <v>128</v>
      </c>
      <c r="D16" s="57">
        <v>15787.3</v>
      </c>
      <c r="E16" s="57">
        <v>15787.3</v>
      </c>
      <c r="F16" s="57">
        <v>15787.3</v>
      </c>
      <c r="G16" s="77">
        <f t="shared" si="0"/>
        <v>0</v>
      </c>
      <c r="I16" s="57">
        <v>15803.6</v>
      </c>
      <c r="J16" s="57">
        <v>15803.6</v>
      </c>
      <c r="K16" s="57">
        <v>15803.6</v>
      </c>
      <c r="L16" s="77">
        <f t="shared" si="1"/>
        <v>0</v>
      </c>
    </row>
    <row r="17" spans="1:12" ht="97.5" x14ac:dyDescent="0.25">
      <c r="A17" s="55" t="s">
        <v>45</v>
      </c>
      <c r="B17" s="56">
        <v>907</v>
      </c>
      <c r="C17" s="56" t="s">
        <v>128</v>
      </c>
      <c r="D17" s="57">
        <v>60</v>
      </c>
      <c r="E17" s="57">
        <v>60</v>
      </c>
      <c r="F17" s="57">
        <v>60</v>
      </c>
      <c r="G17" s="77">
        <f t="shared" si="0"/>
        <v>0</v>
      </c>
      <c r="I17" s="57">
        <v>60</v>
      </c>
      <c r="J17" s="57">
        <v>60</v>
      </c>
      <c r="K17" s="57">
        <v>60</v>
      </c>
      <c r="L17" s="77">
        <f t="shared" si="1"/>
        <v>0</v>
      </c>
    </row>
    <row r="18" spans="1:12" ht="156" x14ac:dyDescent="0.25">
      <c r="A18" s="55" t="s">
        <v>46</v>
      </c>
      <c r="B18" s="56">
        <v>907</v>
      </c>
      <c r="C18" s="56" t="s">
        <v>128</v>
      </c>
      <c r="D18" s="57">
        <v>40377.800000000003</v>
      </c>
      <c r="E18" s="57">
        <v>40151.9</v>
      </c>
      <c r="F18" s="57">
        <v>40151.9</v>
      </c>
      <c r="G18" s="77">
        <f t="shared" si="0"/>
        <v>0</v>
      </c>
      <c r="I18" s="57">
        <v>43480.2</v>
      </c>
      <c r="J18" s="57">
        <v>43236.1</v>
      </c>
      <c r="K18" s="57">
        <v>43236.1</v>
      </c>
      <c r="L18" s="77">
        <f t="shared" si="1"/>
        <v>0</v>
      </c>
    </row>
    <row r="19" spans="1:12" ht="117" x14ac:dyDescent="0.25">
      <c r="A19" s="55" t="s">
        <v>47</v>
      </c>
      <c r="B19" s="56">
        <v>902</v>
      </c>
      <c r="C19" s="56" t="s">
        <v>140</v>
      </c>
      <c r="D19" s="57">
        <v>2911.3</v>
      </c>
      <c r="E19" s="57">
        <v>2895.6</v>
      </c>
      <c r="F19" s="57">
        <v>2895.6</v>
      </c>
      <c r="G19" s="77">
        <f t="shared" si="0"/>
        <v>0</v>
      </c>
      <c r="I19" s="57">
        <v>3023</v>
      </c>
      <c r="J19" s="57">
        <v>3006.6</v>
      </c>
      <c r="K19" s="57">
        <v>3006.6</v>
      </c>
      <c r="L19" s="77">
        <f t="shared" si="1"/>
        <v>0</v>
      </c>
    </row>
    <row r="20" spans="1:12" ht="87.75" customHeight="1" x14ac:dyDescent="0.25">
      <c r="A20" s="55" t="s">
        <v>13</v>
      </c>
      <c r="B20" s="56">
        <v>902</v>
      </c>
      <c r="C20" s="56" t="s">
        <v>140</v>
      </c>
      <c r="D20" s="57">
        <v>7112.9</v>
      </c>
      <c r="E20" s="57">
        <v>6495.6</v>
      </c>
      <c r="F20" s="57">
        <v>6495.6</v>
      </c>
      <c r="G20" s="77">
        <f t="shared" si="0"/>
        <v>0</v>
      </c>
      <c r="I20" s="57">
        <v>497</v>
      </c>
      <c r="J20" s="57">
        <v>2251.9</v>
      </c>
      <c r="K20" s="57">
        <v>2251.9</v>
      </c>
      <c r="L20" s="77">
        <f t="shared" si="1"/>
        <v>0</v>
      </c>
    </row>
    <row r="21" spans="1:12" ht="102" customHeight="1" x14ac:dyDescent="0.25">
      <c r="A21" s="55" t="s">
        <v>195</v>
      </c>
      <c r="B21" s="56">
        <v>902</v>
      </c>
      <c r="C21" s="56" t="s">
        <v>128</v>
      </c>
      <c r="D21" s="57">
        <v>28525.200000000001</v>
      </c>
      <c r="E21" s="57">
        <v>28525.200000000001</v>
      </c>
      <c r="F21" s="57">
        <v>28525.200000000001</v>
      </c>
      <c r="G21" s="77">
        <f t="shared" si="0"/>
        <v>0</v>
      </c>
      <c r="I21" s="57">
        <v>28525.200000000001</v>
      </c>
      <c r="J21" s="57">
        <v>28525.200000000001</v>
      </c>
      <c r="K21" s="57">
        <v>28525.200000000001</v>
      </c>
      <c r="L21" s="77">
        <f t="shared" si="1"/>
        <v>0</v>
      </c>
    </row>
    <row r="22" spans="1:12" ht="117" x14ac:dyDescent="0.25">
      <c r="A22" s="55" t="s">
        <v>17</v>
      </c>
      <c r="B22" s="56">
        <v>913</v>
      </c>
      <c r="C22" s="56" t="s">
        <v>142</v>
      </c>
      <c r="D22" s="57">
        <v>59485.2</v>
      </c>
      <c r="E22" s="57">
        <v>59353.8</v>
      </c>
      <c r="F22" s="57">
        <v>59353.8</v>
      </c>
      <c r="G22" s="77">
        <f t="shared" si="0"/>
        <v>0</v>
      </c>
      <c r="I22" s="57">
        <v>62913</v>
      </c>
      <c r="J22" s="57">
        <v>62972.3</v>
      </c>
      <c r="K22" s="57">
        <v>62972.3</v>
      </c>
      <c r="L22" s="77">
        <f t="shared" si="1"/>
        <v>0</v>
      </c>
    </row>
    <row r="23" spans="1:12" ht="156" hidden="1" x14ac:dyDescent="0.25">
      <c r="A23" s="55" t="s">
        <v>106</v>
      </c>
      <c r="B23" s="56">
        <v>913</v>
      </c>
      <c r="C23" s="56" t="s">
        <v>143</v>
      </c>
      <c r="D23" s="57"/>
      <c r="E23" s="57"/>
      <c r="F23" s="57"/>
      <c r="G23" s="77">
        <f t="shared" si="0"/>
        <v>0</v>
      </c>
      <c r="I23" s="57"/>
      <c r="J23" s="57"/>
      <c r="K23" s="57"/>
      <c r="L23" s="77">
        <f t="shared" si="1"/>
        <v>0</v>
      </c>
    </row>
    <row r="24" spans="1:12" ht="78" x14ac:dyDescent="0.25">
      <c r="A24" s="55" t="s">
        <v>18</v>
      </c>
      <c r="B24" s="56">
        <v>913</v>
      </c>
      <c r="C24" s="56" t="s">
        <v>143</v>
      </c>
      <c r="D24" s="57">
        <v>1458.7</v>
      </c>
      <c r="E24" s="57">
        <v>1529.5</v>
      </c>
      <c r="F24" s="57">
        <v>1529.5</v>
      </c>
      <c r="G24" s="77">
        <f t="shared" si="0"/>
        <v>0</v>
      </c>
      <c r="I24" s="57">
        <v>0</v>
      </c>
      <c r="J24" s="57">
        <v>1590.6</v>
      </c>
      <c r="K24" s="57">
        <v>1590.6</v>
      </c>
      <c r="L24" s="77">
        <f t="shared" si="1"/>
        <v>0</v>
      </c>
    </row>
    <row r="25" spans="1:12" ht="39" x14ac:dyDescent="0.25">
      <c r="A25" s="55" t="s">
        <v>48</v>
      </c>
      <c r="B25" s="56">
        <v>913</v>
      </c>
      <c r="C25" s="56" t="s">
        <v>143</v>
      </c>
      <c r="D25" s="57">
        <v>31753.1</v>
      </c>
      <c r="E25" s="57">
        <v>33068.6</v>
      </c>
      <c r="F25" s="57">
        <v>33068.6</v>
      </c>
      <c r="G25" s="77">
        <f t="shared" si="0"/>
        <v>0</v>
      </c>
      <c r="I25" s="57"/>
      <c r="J25" s="57">
        <v>33068</v>
      </c>
      <c r="K25" s="57">
        <v>33068</v>
      </c>
      <c r="L25" s="77">
        <f t="shared" si="1"/>
        <v>0</v>
      </c>
    </row>
    <row r="26" spans="1:12" ht="175.5" hidden="1" x14ac:dyDescent="0.25">
      <c r="A26" s="55" t="s">
        <v>20</v>
      </c>
      <c r="B26" s="56">
        <v>913</v>
      </c>
      <c r="C26" s="56" t="s">
        <v>143</v>
      </c>
      <c r="D26" s="57"/>
      <c r="E26" s="57"/>
      <c r="F26" s="57"/>
      <c r="G26" s="77">
        <f t="shared" si="0"/>
        <v>0</v>
      </c>
      <c r="I26" s="57"/>
      <c r="J26" s="57"/>
      <c r="K26" s="57"/>
      <c r="L26" s="77">
        <f t="shared" si="1"/>
        <v>0</v>
      </c>
    </row>
    <row r="27" spans="1:12" ht="136.5" hidden="1" x14ac:dyDescent="0.25">
      <c r="A27" s="55" t="s">
        <v>49</v>
      </c>
      <c r="B27" s="56">
        <v>913</v>
      </c>
      <c r="C27" s="56" t="s">
        <v>143</v>
      </c>
      <c r="D27" s="57"/>
      <c r="E27" s="57"/>
      <c r="F27" s="57"/>
      <c r="G27" s="77">
        <f t="shared" si="0"/>
        <v>0</v>
      </c>
      <c r="I27" s="57"/>
      <c r="J27" s="57"/>
      <c r="K27" s="57"/>
      <c r="L27" s="77">
        <f t="shared" si="1"/>
        <v>0</v>
      </c>
    </row>
    <row r="28" spans="1:12" ht="156" hidden="1" x14ac:dyDescent="0.25">
      <c r="A28" s="55" t="s">
        <v>50</v>
      </c>
      <c r="B28" s="56">
        <v>913</v>
      </c>
      <c r="C28" s="56" t="s">
        <v>143</v>
      </c>
      <c r="D28" s="57"/>
      <c r="E28" s="57"/>
      <c r="F28" s="57"/>
      <c r="G28" s="77">
        <f t="shared" si="0"/>
        <v>0</v>
      </c>
      <c r="I28" s="57"/>
      <c r="J28" s="57"/>
      <c r="K28" s="57"/>
      <c r="L28" s="77">
        <f t="shared" si="1"/>
        <v>0</v>
      </c>
    </row>
    <row r="29" spans="1:12" ht="175.5" hidden="1" x14ac:dyDescent="0.25">
      <c r="A29" s="55" t="s">
        <v>23</v>
      </c>
      <c r="B29" s="56">
        <v>913</v>
      </c>
      <c r="C29" s="56" t="s">
        <v>143</v>
      </c>
      <c r="D29" s="57"/>
      <c r="E29" s="57"/>
      <c r="F29" s="57"/>
      <c r="G29" s="77">
        <f t="shared" si="0"/>
        <v>0</v>
      </c>
      <c r="I29" s="57"/>
      <c r="J29" s="57"/>
      <c r="K29" s="57"/>
      <c r="L29" s="77">
        <f t="shared" si="1"/>
        <v>0</v>
      </c>
    </row>
    <row r="30" spans="1:12" ht="78" x14ac:dyDescent="0.25">
      <c r="A30" s="55" t="s">
        <v>24</v>
      </c>
      <c r="B30" s="56">
        <v>913</v>
      </c>
      <c r="C30" s="56" t="s">
        <v>143</v>
      </c>
      <c r="D30" s="57">
        <v>67216.7</v>
      </c>
      <c r="E30" s="57">
        <v>69655</v>
      </c>
      <c r="F30" s="57">
        <v>69655</v>
      </c>
      <c r="G30" s="77">
        <f t="shared" si="0"/>
        <v>0</v>
      </c>
      <c r="I30" s="57">
        <v>69776</v>
      </c>
      <c r="J30" s="57">
        <v>72306.600000000006</v>
      </c>
      <c r="K30" s="57">
        <v>72306.600000000006</v>
      </c>
      <c r="L30" s="77">
        <f t="shared" si="1"/>
        <v>0</v>
      </c>
    </row>
    <row r="31" spans="1:12" ht="78" x14ac:dyDescent="0.25">
      <c r="A31" s="55" t="s">
        <v>51</v>
      </c>
      <c r="B31" s="56">
        <v>913</v>
      </c>
      <c r="C31" s="56" t="s">
        <v>143</v>
      </c>
      <c r="D31" s="57">
        <v>13985.8</v>
      </c>
      <c r="E31" s="57">
        <v>8644.1</v>
      </c>
      <c r="F31" s="57">
        <v>8644.1</v>
      </c>
      <c r="G31" s="77">
        <f t="shared" si="0"/>
        <v>0</v>
      </c>
      <c r="I31" s="57">
        <v>14517.2</v>
      </c>
      <c r="J31" s="57">
        <v>8972.6</v>
      </c>
      <c r="K31" s="57">
        <v>8972.6</v>
      </c>
      <c r="L31" s="77">
        <f t="shared" si="1"/>
        <v>0</v>
      </c>
    </row>
    <row r="32" spans="1:12" ht="58.5" x14ac:dyDescent="0.25">
      <c r="A32" s="55" t="s">
        <v>52</v>
      </c>
      <c r="B32" s="56">
        <v>913</v>
      </c>
      <c r="C32" s="56" t="s">
        <v>143</v>
      </c>
      <c r="D32" s="57">
        <v>835.2</v>
      </c>
      <c r="E32" s="57">
        <v>830.4</v>
      </c>
      <c r="F32" s="57">
        <v>830.4</v>
      </c>
      <c r="G32" s="77">
        <f t="shared" si="0"/>
        <v>0</v>
      </c>
      <c r="I32" s="57">
        <v>868.6</v>
      </c>
      <c r="J32" s="57">
        <v>863.8</v>
      </c>
      <c r="K32" s="57">
        <v>863.8</v>
      </c>
      <c r="L32" s="77">
        <f t="shared" si="1"/>
        <v>0</v>
      </c>
    </row>
    <row r="33" spans="1:12" ht="97.5" hidden="1" x14ac:dyDescent="0.25">
      <c r="A33" s="55" t="s">
        <v>108</v>
      </c>
      <c r="B33" s="56">
        <v>913</v>
      </c>
      <c r="C33" s="56" t="s">
        <v>143</v>
      </c>
      <c r="D33" s="57"/>
      <c r="E33" s="57"/>
      <c r="F33" s="57"/>
      <c r="G33" s="77">
        <f t="shared" si="0"/>
        <v>0</v>
      </c>
      <c r="I33" s="57"/>
      <c r="J33" s="57"/>
      <c r="K33" s="57"/>
      <c r="L33" s="77">
        <f t="shared" si="1"/>
        <v>0</v>
      </c>
    </row>
    <row r="34" spans="1:12" ht="97.5" hidden="1" x14ac:dyDescent="0.25">
      <c r="A34" s="55" t="s">
        <v>32</v>
      </c>
      <c r="B34" s="56">
        <v>913</v>
      </c>
      <c r="C34" s="56" t="s">
        <v>128</v>
      </c>
      <c r="D34" s="57"/>
      <c r="E34" s="57"/>
      <c r="F34" s="57"/>
      <c r="G34" s="77">
        <f t="shared" si="0"/>
        <v>0</v>
      </c>
      <c r="I34" s="57"/>
      <c r="J34" s="57"/>
      <c r="K34" s="57"/>
      <c r="L34" s="77">
        <f t="shared" si="1"/>
        <v>0</v>
      </c>
    </row>
    <row r="35" spans="1:12" ht="156" hidden="1" x14ac:dyDescent="0.25">
      <c r="A35" s="55" t="s">
        <v>224</v>
      </c>
      <c r="B35" s="56">
        <v>913</v>
      </c>
      <c r="C35" s="56" t="s">
        <v>128</v>
      </c>
      <c r="D35" s="57"/>
      <c r="E35" s="57"/>
      <c r="F35" s="57"/>
      <c r="G35" s="77">
        <f t="shared" si="0"/>
        <v>0</v>
      </c>
      <c r="I35" s="57"/>
      <c r="J35" s="57"/>
      <c r="K35" s="57"/>
      <c r="L35" s="77">
        <f t="shared" si="1"/>
        <v>0</v>
      </c>
    </row>
    <row r="36" spans="1:12" ht="58.5" x14ac:dyDescent="0.25">
      <c r="A36" s="55" t="s">
        <v>53</v>
      </c>
      <c r="B36" s="56">
        <v>913</v>
      </c>
      <c r="C36" s="56" t="s">
        <v>128</v>
      </c>
      <c r="D36" s="57">
        <v>18106</v>
      </c>
      <c r="E36" s="57">
        <v>18021.599999999999</v>
      </c>
      <c r="F36" s="57">
        <v>18021.599999999999</v>
      </c>
      <c r="G36" s="77">
        <f t="shared" si="0"/>
        <v>0</v>
      </c>
      <c r="I36" s="57">
        <v>18818.7</v>
      </c>
      <c r="J36" s="57">
        <v>18734.3</v>
      </c>
      <c r="K36" s="57">
        <v>18734.3</v>
      </c>
      <c r="L36" s="77">
        <f t="shared" si="1"/>
        <v>0</v>
      </c>
    </row>
    <row r="37" spans="1:12" ht="55.5" customHeight="1" x14ac:dyDescent="0.25">
      <c r="A37" s="55" t="s">
        <v>54</v>
      </c>
      <c r="B37" s="56">
        <v>913</v>
      </c>
      <c r="C37" s="56" t="s">
        <v>128</v>
      </c>
      <c r="D37" s="57">
        <v>36652.9</v>
      </c>
      <c r="E37" s="57">
        <v>36180.1</v>
      </c>
      <c r="F37" s="57">
        <v>36180.1</v>
      </c>
      <c r="G37" s="77">
        <f t="shared" si="0"/>
        <v>0</v>
      </c>
      <c r="I37" s="57">
        <v>38127.300000000003</v>
      </c>
      <c r="J37" s="57">
        <v>37636.300000000003</v>
      </c>
      <c r="K37" s="57">
        <v>37636.300000000003</v>
      </c>
      <c r="L37" s="77">
        <f t="shared" si="1"/>
        <v>0</v>
      </c>
    </row>
    <row r="38" spans="1:12" ht="143.25" customHeight="1" x14ac:dyDescent="0.25">
      <c r="A38" s="55" t="s">
        <v>107</v>
      </c>
      <c r="B38" s="56">
        <v>913</v>
      </c>
      <c r="C38" s="56" t="s">
        <v>144</v>
      </c>
      <c r="D38" s="57">
        <v>16204.8</v>
      </c>
      <c r="E38" s="57">
        <v>16113.1</v>
      </c>
      <c r="F38" s="57">
        <v>16113.1</v>
      </c>
      <c r="G38" s="77">
        <f t="shared" si="0"/>
        <v>0</v>
      </c>
      <c r="I38" s="57">
        <v>16853</v>
      </c>
      <c r="J38" s="57">
        <v>16757.7</v>
      </c>
      <c r="K38" s="57">
        <v>16757.7</v>
      </c>
      <c r="L38" s="77">
        <f t="shared" si="1"/>
        <v>0</v>
      </c>
    </row>
    <row r="39" spans="1:12" ht="39" hidden="1" x14ac:dyDescent="0.25">
      <c r="A39" s="55" t="s">
        <v>55</v>
      </c>
      <c r="B39" s="56">
        <v>913</v>
      </c>
      <c r="C39" s="56" t="s">
        <v>128</v>
      </c>
      <c r="D39" s="57">
        <v>80637.100000000006</v>
      </c>
      <c r="E39" s="57"/>
      <c r="F39" s="57"/>
      <c r="G39" s="77">
        <f t="shared" si="0"/>
        <v>0</v>
      </c>
      <c r="I39" s="57">
        <v>0</v>
      </c>
      <c r="J39" s="57"/>
      <c r="K39" s="57"/>
      <c r="L39" s="77">
        <f t="shared" si="1"/>
        <v>0</v>
      </c>
    </row>
    <row r="40" spans="1:12" ht="75.75" customHeight="1" x14ac:dyDescent="0.25">
      <c r="A40" s="55" t="s">
        <v>56</v>
      </c>
      <c r="B40" s="56">
        <v>913</v>
      </c>
      <c r="C40" s="56" t="s">
        <v>128</v>
      </c>
      <c r="D40" s="57">
        <v>7944.4</v>
      </c>
      <c r="E40" s="57">
        <v>7898.3</v>
      </c>
      <c r="F40" s="57">
        <v>7898.3</v>
      </c>
      <c r="G40" s="77">
        <f t="shared" si="0"/>
        <v>0</v>
      </c>
      <c r="I40" s="57">
        <v>8267.2000000000007</v>
      </c>
      <c r="J40" s="57">
        <v>8221</v>
      </c>
      <c r="K40" s="57">
        <v>8221</v>
      </c>
      <c r="L40" s="77">
        <f t="shared" si="1"/>
        <v>0</v>
      </c>
    </row>
    <row r="41" spans="1:12" ht="121.5" customHeight="1" x14ac:dyDescent="0.25">
      <c r="A41" s="55" t="s">
        <v>57</v>
      </c>
      <c r="B41" s="56">
        <v>913</v>
      </c>
      <c r="C41" s="56" t="s">
        <v>128</v>
      </c>
      <c r="D41" s="57">
        <v>10995</v>
      </c>
      <c r="E41" s="57">
        <v>10932.9</v>
      </c>
      <c r="F41" s="57">
        <v>10932.9</v>
      </c>
      <c r="G41" s="77">
        <f t="shared" si="0"/>
        <v>0</v>
      </c>
      <c r="I41" s="57">
        <v>11434.9</v>
      </c>
      <c r="J41" s="57">
        <v>11370.3</v>
      </c>
      <c r="K41" s="57">
        <v>11370.3</v>
      </c>
      <c r="L41" s="77">
        <f t="shared" si="1"/>
        <v>0</v>
      </c>
    </row>
    <row r="42" spans="1:12" ht="91.5" customHeight="1" x14ac:dyDescent="0.25">
      <c r="A42" s="55" t="s">
        <v>58</v>
      </c>
      <c r="B42" s="56">
        <v>913</v>
      </c>
      <c r="C42" s="56" t="s">
        <v>128</v>
      </c>
      <c r="D42" s="57">
        <v>3753.9</v>
      </c>
      <c r="E42" s="57">
        <v>3734.7</v>
      </c>
      <c r="F42" s="57">
        <v>3734.7</v>
      </c>
      <c r="G42" s="77">
        <f t="shared" si="0"/>
        <v>0</v>
      </c>
      <c r="I42" s="57">
        <v>3905.2</v>
      </c>
      <c r="J42" s="57">
        <v>3885.9</v>
      </c>
      <c r="K42" s="57">
        <v>3885.9</v>
      </c>
      <c r="L42" s="77">
        <f t="shared" si="1"/>
        <v>0</v>
      </c>
    </row>
    <row r="43" spans="1:12" ht="195" x14ac:dyDescent="0.25">
      <c r="A43" s="55" t="s">
        <v>59</v>
      </c>
      <c r="B43" s="56">
        <v>913</v>
      </c>
      <c r="C43" s="56" t="s">
        <v>128</v>
      </c>
      <c r="D43" s="57">
        <v>72171.100000000006</v>
      </c>
      <c r="E43" s="57">
        <v>33042.5</v>
      </c>
      <c r="F43" s="57">
        <v>33042.5</v>
      </c>
      <c r="G43" s="77">
        <f t="shared" si="0"/>
        <v>0</v>
      </c>
      <c r="I43" s="57">
        <v>11858.4</v>
      </c>
      <c r="J43" s="57">
        <v>11674.8</v>
      </c>
      <c r="K43" s="57">
        <v>11674.8</v>
      </c>
      <c r="L43" s="77">
        <f t="shared" si="1"/>
        <v>0</v>
      </c>
    </row>
    <row r="44" spans="1:12" ht="89.25" customHeight="1" x14ac:dyDescent="0.25">
      <c r="A44" s="53" t="s">
        <v>118</v>
      </c>
      <c r="B44" s="56">
        <v>913</v>
      </c>
      <c r="C44" s="56" t="s">
        <v>129</v>
      </c>
      <c r="D44" s="57">
        <v>29616.7</v>
      </c>
      <c r="E44" s="57">
        <v>29705.4</v>
      </c>
      <c r="F44" s="57">
        <v>29705.4</v>
      </c>
      <c r="G44" s="77">
        <f t="shared" si="0"/>
        <v>0</v>
      </c>
      <c r="I44" s="57">
        <v>30742.9</v>
      </c>
      <c r="J44" s="57">
        <v>30831.5</v>
      </c>
      <c r="K44" s="57">
        <v>30831.5</v>
      </c>
      <c r="L44" s="77">
        <f t="shared" si="1"/>
        <v>0</v>
      </c>
    </row>
    <row r="45" spans="1:12" ht="73.5" customHeight="1" x14ac:dyDescent="0.25">
      <c r="A45" s="53" t="s">
        <v>119</v>
      </c>
      <c r="B45" s="56">
        <v>914</v>
      </c>
      <c r="C45" s="56" t="s">
        <v>136</v>
      </c>
      <c r="D45" s="57">
        <v>4547.1000000000004</v>
      </c>
      <c r="E45" s="57">
        <v>4521.8999999999996</v>
      </c>
      <c r="F45" s="57">
        <v>4521.8999999999996</v>
      </c>
      <c r="G45" s="77">
        <f t="shared" si="0"/>
        <v>0</v>
      </c>
      <c r="I45" s="57">
        <v>4726.7</v>
      </c>
      <c r="J45" s="57">
        <v>4700.1000000000004</v>
      </c>
      <c r="K45" s="57">
        <v>4700.1000000000004</v>
      </c>
      <c r="L45" s="77">
        <f t="shared" si="1"/>
        <v>0</v>
      </c>
    </row>
    <row r="46" spans="1:12" ht="39" x14ac:dyDescent="0.25">
      <c r="A46" s="55" t="s">
        <v>60</v>
      </c>
      <c r="B46" s="56">
        <v>917</v>
      </c>
      <c r="C46" s="56" t="s">
        <v>136</v>
      </c>
      <c r="D46" s="57">
        <v>2582.3000000000002</v>
      </c>
      <c r="E46" s="57">
        <v>2526.9</v>
      </c>
      <c r="F46" s="57">
        <v>2526.9</v>
      </c>
      <c r="G46" s="77">
        <f t="shared" si="0"/>
        <v>0</v>
      </c>
      <c r="I46" s="57"/>
      <c r="J46" s="57">
        <v>2634.2</v>
      </c>
      <c r="K46" s="57">
        <v>2634.2</v>
      </c>
      <c r="L46" s="77">
        <f t="shared" si="1"/>
        <v>0</v>
      </c>
    </row>
    <row r="47" spans="1:12" ht="78" x14ac:dyDescent="0.25">
      <c r="A47" s="55" t="s">
        <v>313</v>
      </c>
      <c r="B47" s="56">
        <v>902</v>
      </c>
      <c r="C47" s="56" t="s">
        <v>136</v>
      </c>
      <c r="D47" s="57">
        <v>168.7</v>
      </c>
      <c r="E47" s="57">
        <v>168.7</v>
      </c>
      <c r="F47" s="57">
        <v>168.7</v>
      </c>
      <c r="G47" s="77">
        <f t="shared" si="0"/>
        <v>0</v>
      </c>
      <c r="I47" s="57">
        <v>168.7</v>
      </c>
      <c r="J47" s="57">
        <v>168.7</v>
      </c>
      <c r="K47" s="57">
        <v>168.7</v>
      </c>
      <c r="L47" s="77">
        <f t="shared" si="1"/>
        <v>0</v>
      </c>
    </row>
    <row r="48" spans="1:12" s="1" customFormat="1" ht="97.5" x14ac:dyDescent="0.25">
      <c r="A48" s="53" t="s">
        <v>220</v>
      </c>
      <c r="B48" s="54">
        <v>913</v>
      </c>
      <c r="C48" s="54" t="s">
        <v>143</v>
      </c>
      <c r="D48" s="52">
        <v>42478.3</v>
      </c>
      <c r="E48" s="52">
        <v>35079.699999999997</v>
      </c>
      <c r="F48" s="52">
        <v>35079.699999999997</v>
      </c>
      <c r="G48" s="77">
        <f t="shared" si="0"/>
        <v>0</v>
      </c>
      <c r="I48" s="57">
        <v>44130.7</v>
      </c>
      <c r="J48" s="57">
        <v>36454.800000000003</v>
      </c>
      <c r="K48" s="57">
        <v>36454.800000000003</v>
      </c>
      <c r="L48" s="77">
        <f t="shared" si="1"/>
        <v>0</v>
      </c>
    </row>
    <row r="49" spans="1:12" s="1" customFormat="1" ht="58.5" x14ac:dyDescent="0.25">
      <c r="A49" s="53" t="s">
        <v>221</v>
      </c>
      <c r="B49" s="54">
        <v>913</v>
      </c>
      <c r="C49" s="54" t="s">
        <v>143</v>
      </c>
      <c r="D49" s="52">
        <v>610.4</v>
      </c>
      <c r="E49" s="52">
        <v>607.1</v>
      </c>
      <c r="F49" s="52">
        <v>607.1</v>
      </c>
      <c r="G49" s="77">
        <f t="shared" si="0"/>
        <v>0</v>
      </c>
      <c r="I49" s="57">
        <v>634.79999999999995</v>
      </c>
      <c r="J49" s="57">
        <v>631.5</v>
      </c>
      <c r="K49" s="57">
        <v>631.5</v>
      </c>
      <c r="L49" s="77">
        <f t="shared" si="1"/>
        <v>0</v>
      </c>
    </row>
    <row r="50" spans="1:12" s="1" customFormat="1" ht="78" x14ac:dyDescent="0.25">
      <c r="A50" s="53" t="s">
        <v>222</v>
      </c>
      <c r="B50" s="54">
        <v>913</v>
      </c>
      <c r="C50" s="54" t="s">
        <v>143</v>
      </c>
      <c r="D50" s="52">
        <v>614.29999999999995</v>
      </c>
      <c r="E50" s="52">
        <v>612.6</v>
      </c>
      <c r="F50" s="52">
        <v>612.6</v>
      </c>
      <c r="G50" s="77">
        <f t="shared" si="0"/>
        <v>0</v>
      </c>
      <c r="I50" s="57">
        <v>637.79999999999995</v>
      </c>
      <c r="J50" s="57">
        <v>636.20000000000005</v>
      </c>
      <c r="K50" s="57">
        <v>636.20000000000005</v>
      </c>
      <c r="L50" s="77">
        <f t="shared" si="1"/>
        <v>0</v>
      </c>
    </row>
    <row r="51" spans="1:12" s="1" customFormat="1" ht="114" customHeight="1" x14ac:dyDescent="0.25">
      <c r="A51" s="53" t="s">
        <v>223</v>
      </c>
      <c r="B51" s="54">
        <v>913</v>
      </c>
      <c r="C51" s="54" t="s">
        <v>143</v>
      </c>
      <c r="D51" s="52">
        <v>13045.5</v>
      </c>
      <c r="E51" s="52">
        <v>13007.6</v>
      </c>
      <c r="F51" s="52">
        <v>13007.6</v>
      </c>
      <c r="G51" s="77">
        <f t="shared" si="0"/>
        <v>0</v>
      </c>
      <c r="I51" s="57">
        <v>13554.7</v>
      </c>
      <c r="J51" s="57">
        <v>13516.5</v>
      </c>
      <c r="K51" s="57">
        <v>13516.5</v>
      </c>
      <c r="L51" s="77">
        <f t="shared" si="1"/>
        <v>0</v>
      </c>
    </row>
    <row r="52" spans="1:12" ht="120" customHeight="1" x14ac:dyDescent="0.25">
      <c r="A52" s="55" t="s">
        <v>86</v>
      </c>
      <c r="B52" s="56">
        <v>913</v>
      </c>
      <c r="C52" s="56" t="s">
        <v>128</v>
      </c>
      <c r="D52" s="57">
        <v>223800.5</v>
      </c>
      <c r="E52" s="57">
        <v>0</v>
      </c>
      <c r="F52" s="57">
        <v>0</v>
      </c>
      <c r="G52" s="77">
        <f t="shared" si="0"/>
        <v>0</v>
      </c>
      <c r="I52" s="57">
        <v>48457.5</v>
      </c>
      <c r="J52" s="57">
        <v>0</v>
      </c>
      <c r="K52" s="57">
        <v>0</v>
      </c>
      <c r="L52" s="77">
        <f t="shared" si="1"/>
        <v>0</v>
      </c>
    </row>
    <row r="53" spans="1:12" ht="115.5" customHeight="1" x14ac:dyDescent="0.25">
      <c r="A53" s="53" t="s">
        <v>293</v>
      </c>
      <c r="B53" s="56">
        <v>913</v>
      </c>
      <c r="C53" s="56">
        <v>1004</v>
      </c>
      <c r="D53" s="57">
        <v>0</v>
      </c>
      <c r="E53" s="57">
        <v>159.4</v>
      </c>
      <c r="F53" s="57">
        <v>159.4</v>
      </c>
      <c r="G53" s="77">
        <f t="shared" si="0"/>
        <v>0</v>
      </c>
      <c r="I53" s="57">
        <v>0</v>
      </c>
      <c r="J53" s="57">
        <v>165.7</v>
      </c>
      <c r="K53" s="57">
        <v>165.7</v>
      </c>
      <c r="L53" s="77">
        <f t="shared" si="1"/>
        <v>0</v>
      </c>
    </row>
    <row r="54" spans="1:12" s="87" customFormat="1" ht="45" customHeight="1" x14ac:dyDescent="0.25">
      <c r="A54" s="38" t="s">
        <v>4</v>
      </c>
      <c r="B54" s="36" t="s">
        <v>87</v>
      </c>
      <c r="C54" s="36" t="s">
        <v>87</v>
      </c>
      <c r="D54" s="28">
        <f>SUM(D5:D53)</f>
        <v>1663492.0999999999</v>
      </c>
      <c r="E54" s="28">
        <f>SUM(E5:E53)</f>
        <v>1323102.2</v>
      </c>
      <c r="F54" s="28">
        <f>SUM(F5:F53)</f>
        <v>1323102.2</v>
      </c>
      <c r="G54" s="78">
        <f>F54-E54</f>
        <v>0</v>
      </c>
      <c r="I54" s="28">
        <f>SUM(I5:I53)</f>
        <v>1355655.2999999996</v>
      </c>
      <c r="J54" s="28">
        <f>SUM(J5:J53)</f>
        <v>1369778.7000000002</v>
      </c>
      <c r="K54" s="28">
        <f>SUM(K5:K53)</f>
        <v>1369778.7000000002</v>
      </c>
      <c r="L54" s="78">
        <f>K54-J54</f>
        <v>0</v>
      </c>
    </row>
    <row r="55" spans="1:12" s="39" customFormat="1" x14ac:dyDescent="0.25">
      <c r="D55" s="40"/>
      <c r="E55" s="40"/>
      <c r="F55" s="40"/>
      <c r="G55" s="40"/>
      <c r="I55" s="40"/>
      <c r="J55" s="40"/>
      <c r="K55" s="40"/>
      <c r="L55" s="40"/>
    </row>
    <row r="56" spans="1:12" s="39" customFormat="1" x14ac:dyDescent="0.25">
      <c r="D56" s="30"/>
      <c r="E56" s="30"/>
      <c r="F56" s="30"/>
      <c r="G56" s="30"/>
      <c r="I56" s="30"/>
      <c r="J56" s="30"/>
      <c r="K56" s="30"/>
      <c r="L56" s="30"/>
    </row>
    <row r="57" spans="1:12" s="12" customFormat="1" ht="39" x14ac:dyDescent="0.3">
      <c r="A57" s="13" t="s">
        <v>5</v>
      </c>
      <c r="B57" s="86"/>
      <c r="C57" s="86"/>
      <c r="D57" s="204" t="s">
        <v>6</v>
      </c>
      <c r="E57" s="204"/>
      <c r="F57" s="204"/>
      <c r="G57" s="204"/>
      <c r="H57" s="204"/>
      <c r="I57" s="204"/>
      <c r="J57" s="204"/>
      <c r="K57" s="204"/>
      <c r="L57" s="204"/>
    </row>
    <row r="60" spans="1:12" hidden="1" x14ac:dyDescent="0.25">
      <c r="D60" s="29">
        <v>1396083.3</v>
      </c>
      <c r="E60" s="29">
        <v>1396083.3</v>
      </c>
      <c r="G60" s="29">
        <v>1396083.3</v>
      </c>
      <c r="I60" s="29">
        <v>1182993.0999999999</v>
      </c>
      <c r="J60" s="29">
        <v>1182993.0999999999</v>
      </c>
      <c r="L60" s="29">
        <v>1182993.0999999999</v>
      </c>
    </row>
    <row r="61" spans="1:12" hidden="1" x14ac:dyDescent="0.25">
      <c r="D61" s="29">
        <f>D54-D60</f>
        <v>267408.79999999981</v>
      </c>
      <c r="E61" s="29">
        <f>E54-E60</f>
        <v>-72981.100000000093</v>
      </c>
      <c r="G61" s="29">
        <f>G54-G60</f>
        <v>-1396083.3</v>
      </c>
      <c r="I61" s="29">
        <f>I54-I60</f>
        <v>172662.19999999972</v>
      </c>
      <c r="J61" s="29">
        <f>J54-J60</f>
        <v>186785.60000000033</v>
      </c>
      <c r="L61" s="29">
        <f>L54-L60</f>
        <v>-1182993.0999999999</v>
      </c>
    </row>
    <row r="62" spans="1:12" hidden="1" x14ac:dyDescent="0.25"/>
    <row r="63" spans="1:12" hidden="1" x14ac:dyDescent="0.25"/>
    <row r="64" spans="1:12" hidden="1" x14ac:dyDescent="0.25"/>
    <row r="65" spans="2:12" hidden="1" x14ac:dyDescent="0.25">
      <c r="B65" s="37">
        <v>902</v>
      </c>
      <c r="C65" s="37" t="s">
        <v>138</v>
      </c>
      <c r="D65" s="29">
        <f>D5+D6+D7</f>
        <v>1441</v>
      </c>
      <c r="E65" s="29">
        <f>E5+E6+E7</f>
        <v>1433.2</v>
      </c>
      <c r="G65" s="29">
        <f>G5+G6+G7</f>
        <v>0</v>
      </c>
      <c r="I65" s="29">
        <f>I5+I6+I7</f>
        <v>1497</v>
      </c>
      <c r="J65" s="29">
        <f>J5+J6+J7</f>
        <v>1488.6</v>
      </c>
      <c r="L65" s="29">
        <f>L5+L6+L7</f>
        <v>0</v>
      </c>
    </row>
    <row r="66" spans="2:12" hidden="1" x14ac:dyDescent="0.25">
      <c r="B66" s="37">
        <v>902</v>
      </c>
      <c r="C66" s="37" t="s">
        <v>139</v>
      </c>
      <c r="D66" s="29">
        <f t="shared" ref="D66:G67" si="2">D8</f>
        <v>10.5</v>
      </c>
      <c r="E66" s="29">
        <f t="shared" si="2"/>
        <v>3.9</v>
      </c>
      <c r="G66" s="29">
        <f t="shared" si="2"/>
        <v>0</v>
      </c>
      <c r="I66" s="29">
        <f t="shared" ref="I66:L67" si="3">I8</f>
        <v>0</v>
      </c>
      <c r="J66" s="29">
        <f t="shared" si="3"/>
        <v>3.5</v>
      </c>
      <c r="L66" s="29">
        <f t="shared" si="3"/>
        <v>0</v>
      </c>
    </row>
    <row r="67" spans="2:12" hidden="1" x14ac:dyDescent="0.25">
      <c r="B67" s="37">
        <v>902</v>
      </c>
      <c r="C67" s="37" t="s">
        <v>136</v>
      </c>
      <c r="D67" s="29">
        <f t="shared" si="2"/>
        <v>0</v>
      </c>
      <c r="E67" s="29">
        <f t="shared" si="2"/>
        <v>0</v>
      </c>
      <c r="G67" s="29">
        <f t="shared" si="2"/>
        <v>0</v>
      </c>
      <c r="I67" s="29">
        <f t="shared" si="3"/>
        <v>0</v>
      </c>
      <c r="J67" s="29">
        <f t="shared" si="3"/>
        <v>0</v>
      </c>
      <c r="L67" s="29">
        <f t="shared" si="3"/>
        <v>0</v>
      </c>
    </row>
    <row r="68" spans="2:12" hidden="1" x14ac:dyDescent="0.25">
      <c r="B68" s="37">
        <v>902</v>
      </c>
      <c r="C68" s="37" t="s">
        <v>140</v>
      </c>
      <c r="D68" s="29">
        <f>D19+D20</f>
        <v>10024.200000000001</v>
      </c>
      <c r="E68" s="29">
        <f>E19+E20</f>
        <v>9391.2000000000007</v>
      </c>
      <c r="G68" s="29">
        <f>G19+G20</f>
        <v>0</v>
      </c>
      <c r="I68" s="29">
        <f>I19+I20</f>
        <v>3520</v>
      </c>
      <c r="J68" s="29">
        <f>J19+J20</f>
        <v>5258.5</v>
      </c>
      <c r="L68" s="29">
        <f>L19+L20</f>
        <v>0</v>
      </c>
    </row>
    <row r="69" spans="2:12" hidden="1" x14ac:dyDescent="0.25">
      <c r="B69" s="37">
        <v>902</v>
      </c>
      <c r="C69" s="37" t="s">
        <v>128</v>
      </c>
      <c r="D69" s="29">
        <f>D21</f>
        <v>28525.200000000001</v>
      </c>
      <c r="E69" s="29">
        <f>E21</f>
        <v>28525.200000000001</v>
      </c>
      <c r="G69" s="29">
        <f>G21</f>
        <v>0</v>
      </c>
      <c r="I69" s="29">
        <f>I21</f>
        <v>28525.200000000001</v>
      </c>
      <c r="J69" s="29">
        <f>J21</f>
        <v>28525.200000000001</v>
      </c>
      <c r="L69" s="29">
        <f>L21</f>
        <v>0</v>
      </c>
    </row>
    <row r="70" spans="2:12" hidden="1" x14ac:dyDescent="0.25"/>
    <row r="71" spans="2:12" hidden="1" x14ac:dyDescent="0.25">
      <c r="B71" s="37">
        <v>907</v>
      </c>
      <c r="C71" s="37" t="s">
        <v>145</v>
      </c>
      <c r="D71" s="29">
        <f t="shared" ref="D71:E71" si="4">D11</f>
        <v>825111.2</v>
      </c>
      <c r="E71" s="29">
        <f t="shared" si="4"/>
        <v>838884.1</v>
      </c>
      <c r="G71" s="29">
        <f t="shared" ref="G71:L73" si="5">G11</f>
        <v>0</v>
      </c>
      <c r="I71" s="29">
        <f t="shared" ref="I71:J71" si="6">I11</f>
        <v>858745.2</v>
      </c>
      <c r="J71" s="29">
        <f t="shared" si="6"/>
        <v>893999.4</v>
      </c>
      <c r="L71" s="29">
        <f t="shared" si="5"/>
        <v>0</v>
      </c>
    </row>
    <row r="72" spans="2:12" hidden="1" x14ac:dyDescent="0.25">
      <c r="B72" s="37">
        <v>907</v>
      </c>
      <c r="C72" s="37" t="s">
        <v>125</v>
      </c>
      <c r="D72" s="29">
        <f t="shared" ref="D72:E72" si="7">D12</f>
        <v>0</v>
      </c>
      <c r="E72" s="29">
        <f t="shared" si="7"/>
        <v>0</v>
      </c>
      <c r="G72" s="29">
        <f t="shared" si="5"/>
        <v>0</v>
      </c>
      <c r="I72" s="29">
        <f t="shared" ref="I72:J72" si="8">I12</f>
        <v>0</v>
      </c>
      <c r="J72" s="29">
        <f t="shared" si="8"/>
        <v>0</v>
      </c>
      <c r="L72" s="29">
        <f t="shared" si="5"/>
        <v>0</v>
      </c>
    </row>
    <row r="73" spans="2:12" hidden="1" x14ac:dyDescent="0.25">
      <c r="B73" s="37">
        <v>907</v>
      </c>
      <c r="C73" s="37" t="s">
        <v>124</v>
      </c>
      <c r="D73" s="29">
        <f t="shared" ref="D73:E73" si="9">D13</f>
        <v>0</v>
      </c>
      <c r="E73" s="29">
        <f t="shared" si="9"/>
        <v>0</v>
      </c>
      <c r="G73" s="29">
        <f t="shared" si="5"/>
        <v>0</v>
      </c>
      <c r="I73" s="29">
        <f t="shared" ref="I73:J73" si="10">I13</f>
        <v>0</v>
      </c>
      <c r="J73" s="29">
        <f t="shared" si="10"/>
        <v>0</v>
      </c>
      <c r="L73" s="29">
        <f t="shared" si="5"/>
        <v>0</v>
      </c>
    </row>
    <row r="74" spans="2:12" hidden="1" x14ac:dyDescent="0.25">
      <c r="B74" s="37">
        <v>907</v>
      </c>
      <c r="C74" s="37" t="s">
        <v>131</v>
      </c>
    </row>
    <row r="75" spans="2:12" hidden="1" x14ac:dyDescent="0.25">
      <c r="B75" s="37">
        <v>907</v>
      </c>
      <c r="C75" s="37" t="s">
        <v>144</v>
      </c>
      <c r="D75" s="29">
        <f>D14</f>
        <v>3491.2</v>
      </c>
      <c r="E75" s="29">
        <f>E14</f>
        <v>3471.5</v>
      </c>
      <c r="G75" s="29">
        <f>G14</f>
        <v>0</v>
      </c>
      <c r="I75" s="29">
        <f>I14</f>
        <v>3630.8</v>
      </c>
      <c r="J75" s="29">
        <f>J14</f>
        <v>3610.4</v>
      </c>
      <c r="L75" s="29">
        <f>L14</f>
        <v>0</v>
      </c>
    </row>
    <row r="76" spans="2:12" hidden="1" x14ac:dyDescent="0.25">
      <c r="B76" s="37">
        <v>907</v>
      </c>
      <c r="C76" s="37" t="s">
        <v>128</v>
      </c>
      <c r="D76" s="29">
        <f>D15+D16+D17+D18</f>
        <v>56225.100000000006</v>
      </c>
      <c r="E76" s="29">
        <f>E15+E16+E17+E18</f>
        <v>55999.199999999997</v>
      </c>
      <c r="G76" s="29">
        <f>G15+G16+G17+G18</f>
        <v>0</v>
      </c>
      <c r="I76" s="29">
        <f>I15+I16+I17+I18</f>
        <v>59343.799999999996</v>
      </c>
      <c r="J76" s="29">
        <f>J15+J16+J17+J18</f>
        <v>59099.7</v>
      </c>
      <c r="L76" s="29">
        <f>L15+L16+L17+L18</f>
        <v>0</v>
      </c>
    </row>
    <row r="77" spans="2:12" hidden="1" x14ac:dyDescent="0.25"/>
    <row r="78" spans="2:12" hidden="1" x14ac:dyDescent="0.25">
      <c r="B78" s="37">
        <v>913</v>
      </c>
      <c r="C78" s="37" t="s">
        <v>131</v>
      </c>
      <c r="D78" s="29">
        <f>D38</f>
        <v>16204.8</v>
      </c>
      <c r="E78" s="29">
        <f>E38</f>
        <v>16113.1</v>
      </c>
      <c r="G78" s="29">
        <f>G38</f>
        <v>0</v>
      </c>
      <c r="I78" s="29">
        <f>I38</f>
        <v>16853</v>
      </c>
      <c r="J78" s="29">
        <f>J38</f>
        <v>16757.7</v>
      </c>
      <c r="L78" s="29">
        <f>L38</f>
        <v>0</v>
      </c>
    </row>
    <row r="79" spans="2:12" hidden="1" x14ac:dyDescent="0.25">
      <c r="B79" s="37">
        <v>913</v>
      </c>
      <c r="C79" s="37" t="s">
        <v>142</v>
      </c>
      <c r="D79" s="29">
        <f>D22</f>
        <v>59485.2</v>
      </c>
      <c r="E79" s="29">
        <f>E22</f>
        <v>59353.8</v>
      </c>
      <c r="G79" s="29">
        <f>G22</f>
        <v>0</v>
      </c>
      <c r="I79" s="29">
        <f>I22</f>
        <v>62913</v>
      </c>
      <c r="J79" s="29">
        <f>J22</f>
        <v>62972.3</v>
      </c>
      <c r="L79" s="29">
        <f>L22</f>
        <v>0</v>
      </c>
    </row>
    <row r="80" spans="2:12" hidden="1" x14ac:dyDescent="0.25">
      <c r="B80" s="37">
        <v>913</v>
      </c>
      <c r="C80" s="37" t="s">
        <v>143</v>
      </c>
      <c r="D80" s="29">
        <f>D23+D24+D25+D26+D27+D28+D29+D30+D31+D32+D33</f>
        <v>115249.5</v>
      </c>
      <c r="E80" s="29">
        <f>E23+E24+E25+E26+E27+E28+E29+E30+E31+E32+E33</f>
        <v>113727.6</v>
      </c>
      <c r="G80" s="29">
        <f>G23+G24+G25+G26+G27+G28+G29+G30+G31+G32+G33</f>
        <v>0</v>
      </c>
      <c r="I80" s="29">
        <f>I23+I24+I25+I26+I27+I28+I29+I30+I31+I32+I33</f>
        <v>85161.8</v>
      </c>
      <c r="J80" s="29">
        <f>J23+J24+J25+J26+J27+J28+J29+J30+J31+J32+J33</f>
        <v>116801.60000000002</v>
      </c>
      <c r="L80" s="29">
        <f>L23+L24+L25+L26+L27+L28+L29+L30+L31+L32+L33</f>
        <v>0</v>
      </c>
    </row>
    <row r="81" spans="2:12" hidden="1" x14ac:dyDescent="0.25">
      <c r="B81" s="37">
        <v>913</v>
      </c>
      <c r="C81" s="37" t="s">
        <v>128</v>
      </c>
      <c r="D81" s="29">
        <f>D34+D35+D36+D37+D39+D40+D41+D42+D43+D52</f>
        <v>454060.9</v>
      </c>
      <c r="E81" s="29">
        <f>E34+E35+E36+E37+E39+E40+E41+E42+E43+E52</f>
        <v>109810.09999999999</v>
      </c>
      <c r="G81" s="29">
        <f>G34+G35+G36+G37+G39+G40+G41+G42+G43+G52</f>
        <v>0</v>
      </c>
      <c r="I81" s="29">
        <f>I34+I35+I36+I37+I39+I40+I41+I42+I43+I52</f>
        <v>140869.19999999998</v>
      </c>
      <c r="J81" s="29">
        <f>J34+J35+J36+J37+J39+J40+J41+J42+J43+J52</f>
        <v>91522.6</v>
      </c>
      <c r="L81" s="29">
        <f>L34+L35+L36+L37+L39+L40+L41+L42+L43+L52</f>
        <v>0</v>
      </c>
    </row>
    <row r="82" spans="2:12" hidden="1" x14ac:dyDescent="0.25">
      <c r="B82" s="37">
        <v>913</v>
      </c>
      <c r="C82" s="37" t="s">
        <v>129</v>
      </c>
      <c r="D82" s="29">
        <f>D44</f>
        <v>29616.7</v>
      </c>
      <c r="E82" s="29">
        <f>E44</f>
        <v>29705.4</v>
      </c>
      <c r="G82" s="29">
        <f>G44</f>
        <v>0</v>
      </c>
      <c r="I82" s="29">
        <f>I44</f>
        <v>30742.9</v>
      </c>
      <c r="J82" s="29">
        <f>J44</f>
        <v>30831.5</v>
      </c>
      <c r="L82" s="29">
        <f>L44</f>
        <v>0</v>
      </c>
    </row>
    <row r="83" spans="2:12" hidden="1" x14ac:dyDescent="0.25"/>
    <row r="84" spans="2:12" hidden="1" x14ac:dyDescent="0.25">
      <c r="B84" s="37">
        <v>914</v>
      </c>
      <c r="C84" s="37" t="s">
        <v>136</v>
      </c>
      <c r="D84" s="29">
        <f>D45</f>
        <v>4547.1000000000004</v>
      </c>
      <c r="E84" s="29">
        <f>E45</f>
        <v>4521.8999999999996</v>
      </c>
      <c r="G84" s="29">
        <f>G45</f>
        <v>0</v>
      </c>
      <c r="I84" s="29">
        <f>I45</f>
        <v>4726.7</v>
      </c>
      <c r="J84" s="29">
        <f>J45</f>
        <v>4700.1000000000004</v>
      </c>
      <c r="L84" s="29">
        <f>L45</f>
        <v>0</v>
      </c>
    </row>
    <row r="85" spans="2:12" hidden="1" x14ac:dyDescent="0.25">
      <c r="B85" s="37">
        <v>914</v>
      </c>
      <c r="C85" s="37" t="s">
        <v>141</v>
      </c>
      <c r="D85" s="29">
        <f>D10</f>
        <v>0</v>
      </c>
      <c r="E85" s="29">
        <f>E10</f>
        <v>0</v>
      </c>
      <c r="G85" s="29">
        <f>G10</f>
        <v>0</v>
      </c>
      <c r="I85" s="29">
        <f>I10</f>
        <v>0</v>
      </c>
      <c r="J85" s="29">
        <f>J10</f>
        <v>0</v>
      </c>
      <c r="L85" s="29">
        <f>L10</f>
        <v>0</v>
      </c>
    </row>
    <row r="86" spans="2:12" hidden="1" x14ac:dyDescent="0.25"/>
    <row r="87" spans="2:12" hidden="1" x14ac:dyDescent="0.25">
      <c r="B87" s="37">
        <v>917</v>
      </c>
      <c r="C87" s="37" t="s">
        <v>136</v>
      </c>
      <c r="D87" s="29">
        <f>D46</f>
        <v>2582.3000000000002</v>
      </c>
      <c r="E87" s="29">
        <f>E46</f>
        <v>2526.9</v>
      </c>
      <c r="G87" s="29">
        <f>G46</f>
        <v>0</v>
      </c>
      <c r="I87" s="29">
        <f>I46</f>
        <v>0</v>
      </c>
      <c r="J87" s="29">
        <f>J46</f>
        <v>2634.2</v>
      </c>
      <c r="L87" s="29">
        <f>L46</f>
        <v>0</v>
      </c>
    </row>
    <row r="88" spans="2:12" hidden="1" x14ac:dyDescent="0.25"/>
    <row r="89" spans="2:12" hidden="1" x14ac:dyDescent="0.25">
      <c r="D89" s="29">
        <f>SUM(D65:D87)</f>
        <v>1606574.9</v>
      </c>
      <c r="E89" s="29">
        <f>SUM(E65:E87)</f>
        <v>1273467.0999999999</v>
      </c>
      <c r="G89" s="29">
        <f>SUM(G65:G87)</f>
        <v>0</v>
      </c>
      <c r="I89" s="29">
        <f>SUM(I65:I87)</f>
        <v>1296528.5999999999</v>
      </c>
      <c r="J89" s="29">
        <f>SUM(J65:J87)</f>
        <v>1318205.3000000003</v>
      </c>
      <c r="L89" s="29">
        <f>SUM(L65:L87)</f>
        <v>0</v>
      </c>
    </row>
    <row r="90" spans="2:12" hidden="1" x14ac:dyDescent="0.25">
      <c r="D90" s="29">
        <f>D89-D54</f>
        <v>-56917.199999999953</v>
      </c>
      <c r="E90" s="29">
        <f>E89-E54</f>
        <v>-49635.100000000093</v>
      </c>
      <c r="G90" s="29">
        <f>G89-G54</f>
        <v>0</v>
      </c>
      <c r="I90" s="29">
        <f>I89-I54</f>
        <v>-59126.699999999721</v>
      </c>
      <c r="J90" s="29">
        <f>J89-J54</f>
        <v>-51573.399999999907</v>
      </c>
      <c r="L90" s="29">
        <f>L89-L54</f>
        <v>0</v>
      </c>
    </row>
    <row r="91" spans="2:12" hidden="1" x14ac:dyDescent="0.25"/>
    <row r="92" spans="2:12" hidden="1" x14ac:dyDescent="0.25"/>
    <row r="93" spans="2:12" hidden="1" x14ac:dyDescent="0.25"/>
    <row r="94" spans="2:12" hidden="1" x14ac:dyDescent="0.25"/>
    <row r="96" spans="2:12" hidden="1" x14ac:dyDescent="0.25">
      <c r="D96" s="29">
        <v>1396083.3</v>
      </c>
      <c r="E96" s="29">
        <v>1561434.7999999996</v>
      </c>
      <c r="I96" s="29">
        <v>1182993.0999999999</v>
      </c>
      <c r="J96" s="29">
        <v>1636367.5999999999</v>
      </c>
    </row>
    <row r="97" spans="2:10" hidden="1" x14ac:dyDescent="0.25">
      <c r="D97" s="29">
        <f>D96-D54</f>
        <v>-267408.79999999981</v>
      </c>
      <c r="E97" s="29">
        <f>E96-E54</f>
        <v>238332.59999999963</v>
      </c>
      <c r="I97" s="29">
        <f>I96-I54</f>
        <v>-172662.19999999972</v>
      </c>
      <c r="J97" s="29">
        <f>J96-J54</f>
        <v>266588.89999999967</v>
      </c>
    </row>
    <row r="98" spans="2:10" hidden="1" x14ac:dyDescent="0.25"/>
    <row r="99" spans="2:10" hidden="1" x14ac:dyDescent="0.25"/>
    <row r="104" spans="2:10" x14ac:dyDescent="0.25">
      <c r="B104" s="83"/>
      <c r="C104" s="83"/>
    </row>
    <row r="105" spans="2:10" x14ac:dyDescent="0.25">
      <c r="B105" s="83"/>
      <c r="C105" s="83"/>
    </row>
  </sheetData>
  <mergeCells count="5">
    <mergeCell ref="D57:L57"/>
    <mergeCell ref="A2:L2"/>
    <mergeCell ref="A3:L3"/>
    <mergeCell ref="A1:L1"/>
    <mergeCell ref="A11:A13"/>
  </mergeCells>
  <printOptions horizontalCentered="1"/>
  <pageMargins left="0" right="0" top="0" bottom="0" header="0.31496062992125984" footer="0.31496062992125984"/>
  <pageSetup paperSize="9"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view="pageBreakPreview" zoomScale="60" zoomScaleNormal="75" workbookViewId="0">
      <selection activeCell="G9" sqref="G9"/>
    </sheetView>
  </sheetViews>
  <sheetFormatPr defaultRowHeight="19.5" x14ac:dyDescent="0.25"/>
  <cols>
    <col min="1" max="1" width="75.7109375" style="161" customWidth="1"/>
    <col min="2" max="2" width="10.85546875" style="161" hidden="1" customWidth="1"/>
    <col min="3" max="3" width="12.140625" style="161" hidden="1" customWidth="1"/>
    <col min="4" max="4" width="15.42578125" style="169" hidden="1" customWidth="1"/>
    <col min="5" max="5" width="30" style="169" hidden="1" customWidth="1"/>
    <col min="6" max="8" width="30" style="169" customWidth="1"/>
    <col min="9" max="10" width="9.140625" style="161"/>
    <col min="11" max="11" width="9.140625" style="161" customWidth="1"/>
    <col min="12" max="12" width="12.7109375" style="161" customWidth="1"/>
    <col min="13" max="19" width="9.140625" style="161" customWidth="1"/>
    <col min="20" max="16384" width="9.140625" style="161"/>
  </cols>
  <sheetData>
    <row r="1" spans="1:8" s="150" customFormat="1" x14ac:dyDescent="0.25">
      <c r="A1" s="215" t="s">
        <v>67</v>
      </c>
      <c r="B1" s="215"/>
      <c r="C1" s="215"/>
      <c r="D1" s="215"/>
      <c r="E1" s="215"/>
      <c r="F1" s="215"/>
      <c r="G1" s="215"/>
      <c r="H1" s="215"/>
    </row>
    <row r="2" spans="1:8" s="151" customFormat="1" ht="49.5" customHeight="1" x14ac:dyDescent="0.25">
      <c r="A2" s="213" t="s">
        <v>245</v>
      </c>
      <c r="B2" s="213"/>
      <c r="C2" s="213"/>
      <c r="D2" s="213"/>
      <c r="E2" s="213"/>
      <c r="F2" s="213"/>
      <c r="G2" s="213"/>
      <c r="H2" s="213"/>
    </row>
    <row r="3" spans="1:8" s="151" customFormat="1" ht="20.25" x14ac:dyDescent="0.25">
      <c r="A3" s="214" t="s">
        <v>0</v>
      </c>
      <c r="B3" s="214"/>
      <c r="C3" s="214"/>
      <c r="D3" s="214"/>
      <c r="E3" s="214"/>
      <c r="F3" s="214"/>
      <c r="G3" s="214"/>
      <c r="H3" s="214"/>
    </row>
    <row r="4" spans="1:8" s="156" customFormat="1" ht="60" customHeight="1" x14ac:dyDescent="0.25">
      <c r="A4" s="155" t="s">
        <v>1</v>
      </c>
      <c r="B4" s="155" t="s">
        <v>84</v>
      </c>
      <c r="C4" s="155" t="s">
        <v>122</v>
      </c>
      <c r="D4" s="153" t="s">
        <v>315</v>
      </c>
      <c r="E4" s="153" t="s">
        <v>335</v>
      </c>
      <c r="F4" s="153" t="s">
        <v>335</v>
      </c>
      <c r="G4" s="153" t="s">
        <v>336</v>
      </c>
      <c r="H4" s="153" t="s">
        <v>196</v>
      </c>
    </row>
    <row r="5" spans="1:8" ht="78.75" customHeight="1" x14ac:dyDescent="0.25">
      <c r="A5" s="157" t="s">
        <v>39</v>
      </c>
      <c r="B5" s="158">
        <v>907</v>
      </c>
      <c r="C5" s="158" t="s">
        <v>125</v>
      </c>
      <c r="D5" s="159">
        <v>32888.5</v>
      </c>
      <c r="E5" s="159">
        <v>32888.5</v>
      </c>
      <c r="F5" s="160">
        <f>32888.5</f>
        <v>32888.5</v>
      </c>
      <c r="G5" s="160">
        <f>32888.5</f>
        <v>32888.5</v>
      </c>
      <c r="H5" s="154">
        <f>G5-F5</f>
        <v>0</v>
      </c>
    </row>
    <row r="6" spans="1:8" ht="136.5" x14ac:dyDescent="0.25">
      <c r="A6" s="157" t="s">
        <v>40</v>
      </c>
      <c r="B6" s="158">
        <v>902</v>
      </c>
      <c r="C6" s="158" t="s">
        <v>136</v>
      </c>
      <c r="D6" s="159">
        <v>17180.5</v>
      </c>
      <c r="E6" s="159">
        <v>19953.599999999999</v>
      </c>
      <c r="F6" s="159">
        <f>19953.6+254.5-704.6</f>
        <v>19503.5</v>
      </c>
      <c r="G6" s="159">
        <f>19953.6+254.5-704.6</f>
        <v>19503.5</v>
      </c>
      <c r="H6" s="154">
        <f t="shared" ref="H6:H8" si="0">G6-F6</f>
        <v>0</v>
      </c>
    </row>
    <row r="7" spans="1:8" ht="83.25" customHeight="1" x14ac:dyDescent="0.25">
      <c r="A7" s="162" t="s">
        <v>294</v>
      </c>
      <c r="B7" s="158">
        <v>902</v>
      </c>
      <c r="C7" s="158" t="s">
        <v>282</v>
      </c>
      <c r="D7" s="159">
        <v>0</v>
      </c>
      <c r="E7" s="159">
        <v>6300.2</v>
      </c>
      <c r="F7" s="159">
        <v>6300.2</v>
      </c>
      <c r="G7" s="159">
        <v>6300.2</v>
      </c>
      <c r="H7" s="154">
        <f t="shared" ref="H7" si="1">G7-F7</f>
        <v>0</v>
      </c>
    </row>
    <row r="8" spans="1:8" ht="73.5" customHeight="1" x14ac:dyDescent="0.25">
      <c r="A8" s="162" t="s">
        <v>363</v>
      </c>
      <c r="B8" s="158"/>
      <c r="C8" s="158"/>
      <c r="D8" s="159"/>
      <c r="E8" s="159"/>
      <c r="F8" s="159">
        <v>1999.2</v>
      </c>
      <c r="G8" s="159">
        <v>1999.2</v>
      </c>
      <c r="H8" s="154">
        <f t="shared" si="0"/>
        <v>0</v>
      </c>
    </row>
    <row r="9" spans="1:8" s="156" customFormat="1" ht="45" customHeight="1" x14ac:dyDescent="0.25">
      <c r="A9" s="155" t="s">
        <v>4</v>
      </c>
      <c r="B9" s="152" t="s">
        <v>87</v>
      </c>
      <c r="C9" s="152" t="s">
        <v>87</v>
      </c>
      <c r="D9" s="163">
        <f>SUM(D5:D8)</f>
        <v>50069</v>
      </c>
      <c r="E9" s="163">
        <f>SUM(E5:E8)</f>
        <v>59142.299999999996</v>
      </c>
      <c r="F9" s="163">
        <f>SUM(F5:F8)</f>
        <v>60691.399999999994</v>
      </c>
      <c r="G9" s="163">
        <f>SUM(G5:G8)</f>
        <v>60691.399999999994</v>
      </c>
      <c r="H9" s="163">
        <f>SUM(H5:H8)</f>
        <v>0</v>
      </c>
    </row>
    <row r="10" spans="1:8" s="164" customFormat="1" x14ac:dyDescent="0.25">
      <c r="D10" s="165"/>
      <c r="E10" s="165"/>
      <c r="F10" s="165"/>
      <c r="G10" s="165"/>
      <c r="H10" s="165"/>
    </row>
    <row r="11" spans="1:8" s="164" customFormat="1" x14ac:dyDescent="0.25">
      <c r="D11" s="166"/>
      <c r="E11" s="166"/>
      <c r="F11" s="166"/>
      <c r="G11" s="166"/>
      <c r="H11" s="166"/>
    </row>
    <row r="13" spans="1:8" s="156" customFormat="1" ht="51.75" customHeight="1" x14ac:dyDescent="0.25">
      <c r="A13" s="167" t="s">
        <v>5</v>
      </c>
      <c r="D13" s="168"/>
      <c r="E13" s="168"/>
      <c r="F13" s="168"/>
      <c r="G13" s="168"/>
      <c r="H13" s="168" t="s">
        <v>6</v>
      </c>
    </row>
    <row r="15" spans="1:8" hidden="1" x14ac:dyDescent="0.25">
      <c r="D15" s="169">
        <v>47175.3</v>
      </c>
      <c r="E15" s="169">
        <v>47175.3</v>
      </c>
      <c r="F15" s="169">
        <v>47175.3</v>
      </c>
      <c r="H15" s="169">
        <v>47175.3</v>
      </c>
    </row>
    <row r="16" spans="1:8" hidden="1" x14ac:dyDescent="0.25">
      <c r="D16" s="169">
        <f>D15-D9</f>
        <v>-2893.6999999999971</v>
      </c>
      <c r="E16" s="169">
        <f>E15-E9</f>
        <v>-11966.999999999993</v>
      </c>
      <c r="F16" s="169">
        <f>F15-F9</f>
        <v>-13516.099999999991</v>
      </c>
      <c r="H16" s="169">
        <f>H15-H9</f>
        <v>47175.3</v>
      </c>
    </row>
    <row r="17" spans="2:9" hidden="1" x14ac:dyDescent="0.25"/>
    <row r="18" spans="2:9" hidden="1" x14ac:dyDescent="0.25"/>
    <row r="19" spans="2:9" hidden="1" x14ac:dyDescent="0.25">
      <c r="I19" s="170"/>
    </row>
    <row r="20" spans="2:9" hidden="1" x14ac:dyDescent="0.25"/>
    <row r="21" spans="2:9" hidden="1" x14ac:dyDescent="0.25">
      <c r="B21" s="161">
        <v>902</v>
      </c>
      <c r="C21" s="161" t="s">
        <v>136</v>
      </c>
      <c r="D21" s="169">
        <f>D6</f>
        <v>17180.5</v>
      </c>
      <c r="E21" s="169">
        <f>E6</f>
        <v>19953.599999999999</v>
      </c>
      <c r="F21" s="169">
        <f>F6</f>
        <v>19503.5</v>
      </c>
      <c r="H21" s="169">
        <f>H6</f>
        <v>0</v>
      </c>
    </row>
    <row r="22" spans="2:9" hidden="1" x14ac:dyDescent="0.25"/>
    <row r="23" spans="2:9" hidden="1" x14ac:dyDescent="0.25">
      <c r="B23" s="161">
        <v>907</v>
      </c>
      <c r="C23" s="161" t="s">
        <v>125</v>
      </c>
      <c r="D23" s="169">
        <f>D5</f>
        <v>32888.5</v>
      </c>
      <c r="E23" s="169">
        <f>E5</f>
        <v>32888.5</v>
      </c>
      <c r="F23" s="169">
        <f>F5</f>
        <v>32888.5</v>
      </c>
      <c r="H23" s="169">
        <f>H5</f>
        <v>0</v>
      </c>
    </row>
    <row r="24" spans="2:9" hidden="1" x14ac:dyDescent="0.25"/>
    <row r="25" spans="2:9" hidden="1" x14ac:dyDescent="0.25">
      <c r="B25" s="161">
        <v>914</v>
      </c>
      <c r="C25" s="161" t="s">
        <v>135</v>
      </c>
      <c r="D25" s="169" t="e">
        <f>#REF!</f>
        <v>#REF!</v>
      </c>
      <c r="E25" s="169" t="e">
        <f>#REF!</f>
        <v>#REF!</v>
      </c>
      <c r="F25" s="169" t="e">
        <f>#REF!</f>
        <v>#REF!</v>
      </c>
      <c r="H25" s="169" t="e">
        <f>#REF!</f>
        <v>#REF!</v>
      </c>
    </row>
    <row r="26" spans="2:9" hidden="1" x14ac:dyDescent="0.25"/>
    <row r="27" spans="2:9" hidden="1" x14ac:dyDescent="0.25">
      <c r="D27" s="169" t="e">
        <f>SUM(D21:D25)</f>
        <v>#REF!</v>
      </c>
      <c r="E27" s="169" t="e">
        <f>SUM(E21:E25)</f>
        <v>#REF!</v>
      </c>
      <c r="F27" s="169" t="e">
        <f>SUM(F21:F25)</f>
        <v>#REF!</v>
      </c>
      <c r="H27" s="169" t="e">
        <f>SUM(H21:H25)</f>
        <v>#REF!</v>
      </c>
    </row>
    <row r="28" spans="2:9" hidden="1" x14ac:dyDescent="0.25">
      <c r="D28" s="169" t="e">
        <f>D27-D9</f>
        <v>#REF!</v>
      </c>
      <c r="E28" s="169" t="e">
        <f>E27-E9</f>
        <v>#REF!</v>
      </c>
      <c r="F28" s="169" t="e">
        <f>F27-F9</f>
        <v>#REF!</v>
      </c>
      <c r="H28" s="169" t="e">
        <f>H27-H9</f>
        <v>#REF!</v>
      </c>
    </row>
    <row r="29" spans="2:9" hidden="1" x14ac:dyDescent="0.25"/>
    <row r="30" spans="2:9" hidden="1" x14ac:dyDescent="0.25"/>
    <row r="31" spans="2:9" hidden="1" x14ac:dyDescent="0.25"/>
    <row r="32" spans="2: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59" spans="2:3" x14ac:dyDescent="0.25">
      <c r="B59" s="170"/>
      <c r="C59" s="170"/>
    </row>
  </sheetData>
  <autoFilter ref="A4:H9"/>
  <mergeCells count="3">
    <mergeCell ref="A2:H2"/>
    <mergeCell ref="A3:H3"/>
    <mergeCell ref="A1:H1"/>
  </mergeCells>
  <printOptions horizontalCentered="1"/>
  <pageMargins left="0" right="0" top="0" bottom="0" header="0.31496062992125984" footer="0.31496062992125984"/>
  <pageSetup paperSize="9" scale="6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view="pageBreakPreview" zoomScale="60" zoomScaleNormal="80" workbookViewId="0">
      <selection activeCell="M9" sqref="M9"/>
    </sheetView>
  </sheetViews>
  <sheetFormatPr defaultRowHeight="19.5" x14ac:dyDescent="0.25"/>
  <cols>
    <col min="1" max="1" width="64.85546875" style="21" customWidth="1"/>
    <col min="2" max="2" width="8.140625" style="21" hidden="1" customWidth="1"/>
    <col min="3" max="3" width="9.42578125" style="21" hidden="1" customWidth="1"/>
    <col min="4" max="5" width="22" style="22" hidden="1" customWidth="1"/>
    <col min="6" max="8" width="22" style="22" customWidth="1"/>
    <col min="9" max="9" width="9.140625" style="21" customWidth="1"/>
    <col min="10" max="11" width="22" style="22" hidden="1" customWidth="1"/>
    <col min="12" max="14" width="22" style="22" customWidth="1"/>
    <col min="15" max="16384" width="9.140625" style="21"/>
  </cols>
  <sheetData>
    <row r="1" spans="1:14" x14ac:dyDescent="0.25">
      <c r="A1" s="216" t="s">
        <v>71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s="85" customFormat="1" ht="49.5" customHeight="1" x14ac:dyDescent="0.25">
      <c r="A2" s="197" t="s">
        <v>246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1:14" s="1" customFormat="1" x14ac:dyDescent="0.25"/>
    <row r="4" spans="1:14" s="85" customFormat="1" ht="20.25" x14ac:dyDescent="0.25">
      <c r="A4" s="206" t="s">
        <v>0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</row>
    <row r="5" spans="1:14" s="23" customFormat="1" ht="136.5" x14ac:dyDescent="0.25">
      <c r="A5" s="38" t="s">
        <v>1</v>
      </c>
      <c r="B5" s="38" t="s">
        <v>85</v>
      </c>
      <c r="C5" s="38" t="s">
        <v>122</v>
      </c>
      <c r="D5" s="51" t="s">
        <v>317</v>
      </c>
      <c r="E5" s="51" t="s">
        <v>318</v>
      </c>
      <c r="F5" s="51" t="s">
        <v>341</v>
      </c>
      <c r="G5" s="51" t="s">
        <v>345</v>
      </c>
      <c r="H5" s="51" t="s">
        <v>196</v>
      </c>
      <c r="I5" s="87"/>
      <c r="J5" s="51" t="s">
        <v>319</v>
      </c>
      <c r="K5" s="51" t="s">
        <v>320</v>
      </c>
      <c r="L5" s="51" t="s">
        <v>342</v>
      </c>
      <c r="M5" s="51" t="s">
        <v>346</v>
      </c>
      <c r="N5" s="51" t="s">
        <v>196</v>
      </c>
    </row>
    <row r="6" spans="1:14" ht="56.25" x14ac:dyDescent="0.25">
      <c r="A6" s="107" t="s">
        <v>39</v>
      </c>
      <c r="B6" s="90">
        <v>907</v>
      </c>
      <c r="C6" s="90" t="s">
        <v>125</v>
      </c>
      <c r="D6" s="91">
        <v>32029.200000000001</v>
      </c>
      <c r="E6" s="91">
        <v>32576</v>
      </c>
      <c r="F6" s="91">
        <v>32576</v>
      </c>
      <c r="G6" s="104">
        <f>32576</f>
        <v>32576</v>
      </c>
      <c r="H6" s="118">
        <f>G6-E6</f>
        <v>0</v>
      </c>
      <c r="I6" s="119"/>
      <c r="J6" s="104">
        <v>0</v>
      </c>
      <c r="K6" s="104">
        <v>32576</v>
      </c>
      <c r="L6" s="104">
        <v>32576</v>
      </c>
      <c r="M6" s="104">
        <f>32576</f>
        <v>32576</v>
      </c>
      <c r="N6" s="77">
        <f>M6-L6</f>
        <v>0</v>
      </c>
    </row>
    <row r="7" spans="1:14" ht="131.25" x14ac:dyDescent="0.25">
      <c r="A7" s="107" t="s">
        <v>40</v>
      </c>
      <c r="B7" s="90">
        <v>902</v>
      </c>
      <c r="C7" s="90" t="s">
        <v>136</v>
      </c>
      <c r="D7" s="91">
        <v>17180.5</v>
      </c>
      <c r="E7" s="91">
        <v>19953.599999999999</v>
      </c>
      <c r="F7" s="91">
        <v>19953.599999999999</v>
      </c>
      <c r="G7" s="91">
        <v>19953.599999999999</v>
      </c>
      <c r="H7" s="77">
        <f>G7-E7</f>
        <v>0</v>
      </c>
      <c r="J7" s="91">
        <v>17180.5</v>
      </c>
      <c r="K7" s="91">
        <v>19953.599999999999</v>
      </c>
      <c r="L7" s="91">
        <v>19953.599999999999</v>
      </c>
      <c r="M7" s="91">
        <v>19953.599999999999</v>
      </c>
      <c r="N7" s="77">
        <f>M7-L7</f>
        <v>0</v>
      </c>
    </row>
    <row r="8" spans="1:14" ht="105" hidden="1" customHeight="1" x14ac:dyDescent="0.3">
      <c r="A8" s="106" t="s">
        <v>294</v>
      </c>
      <c r="B8" s="90">
        <v>904</v>
      </c>
      <c r="C8" s="90">
        <v>1403</v>
      </c>
      <c r="D8" s="91">
        <v>0</v>
      </c>
      <c r="E8" s="91"/>
      <c r="F8" s="91"/>
      <c r="G8" s="91"/>
      <c r="H8" s="77"/>
      <c r="J8" s="91">
        <v>0</v>
      </c>
      <c r="K8" s="91"/>
      <c r="L8" s="91"/>
      <c r="M8" s="91"/>
      <c r="N8" s="77"/>
    </row>
    <row r="9" spans="1:14" s="23" customFormat="1" ht="45" customHeight="1" x14ac:dyDescent="0.25">
      <c r="A9" s="25" t="s">
        <v>4</v>
      </c>
      <c r="B9" s="36" t="s">
        <v>87</v>
      </c>
      <c r="C9" s="36" t="s">
        <v>87</v>
      </c>
      <c r="D9" s="24">
        <f>SUM(D6:D7)</f>
        <v>49209.7</v>
      </c>
      <c r="E9" s="24">
        <f>SUM(E6:E7)</f>
        <v>52529.599999999999</v>
      </c>
      <c r="F9" s="24">
        <f>SUM(F6:F7)</f>
        <v>52529.599999999999</v>
      </c>
      <c r="G9" s="24">
        <f t="shared" ref="G9" si="0">SUM(G6:G7)</f>
        <v>52529.599999999999</v>
      </c>
      <c r="H9" s="24">
        <f>SUM(H6:H7)</f>
        <v>0</v>
      </c>
      <c r="J9" s="24">
        <f>SUM(J6:J7)</f>
        <v>17180.5</v>
      </c>
      <c r="K9" s="24">
        <f>SUM(K6:K7)</f>
        <v>52529.599999999999</v>
      </c>
      <c r="L9" s="24">
        <f>SUM(L6:L7)</f>
        <v>52529.599999999999</v>
      </c>
      <c r="M9" s="24">
        <f t="shared" ref="M9:N9" si="1">SUM(M6:M7)</f>
        <v>52529.599999999999</v>
      </c>
      <c r="N9" s="24">
        <f t="shared" si="1"/>
        <v>0</v>
      </c>
    </row>
    <row r="11" spans="1:14" s="23" customFormat="1" ht="39" x14ac:dyDescent="0.25">
      <c r="A11" s="88" t="s">
        <v>5</v>
      </c>
      <c r="D11" s="217" t="s">
        <v>6</v>
      </c>
      <c r="E11" s="217"/>
      <c r="F11" s="217"/>
      <c r="G11" s="217"/>
      <c r="H11" s="217"/>
      <c r="I11" s="217"/>
      <c r="J11" s="217"/>
      <c r="K11" s="217"/>
      <c r="L11" s="217"/>
      <c r="M11" s="217"/>
      <c r="N11" s="217"/>
    </row>
    <row r="13" spans="1:14" hidden="1" x14ac:dyDescent="0.25">
      <c r="D13" s="22">
        <v>191079</v>
      </c>
      <c r="E13" s="22">
        <v>191079</v>
      </c>
      <c r="F13" s="22">
        <v>191079</v>
      </c>
      <c r="H13" s="22">
        <v>191079</v>
      </c>
      <c r="J13" s="22">
        <v>15158.6</v>
      </c>
      <c r="K13" s="22">
        <v>15158.6</v>
      </c>
      <c r="L13" s="22">
        <v>15158.6</v>
      </c>
      <c r="N13" s="22">
        <v>15158.6</v>
      </c>
    </row>
    <row r="14" spans="1:14" hidden="1" x14ac:dyDescent="0.25">
      <c r="D14" s="22">
        <f>D9-D13</f>
        <v>-141869.29999999999</v>
      </c>
      <c r="E14" s="22">
        <f>E9-E13</f>
        <v>-138549.4</v>
      </c>
      <c r="F14" s="22">
        <f>F9-F13</f>
        <v>-138549.4</v>
      </c>
      <c r="H14" s="22">
        <f>H9-H13</f>
        <v>-191079</v>
      </c>
      <c r="J14" s="22">
        <f>J9-J13</f>
        <v>2021.8999999999996</v>
      </c>
      <c r="K14" s="22">
        <f>K9-K13</f>
        <v>37371</v>
      </c>
      <c r="L14" s="22">
        <f>L9-L13</f>
        <v>37371</v>
      </c>
      <c r="N14" s="22">
        <f>N9-N13</f>
        <v>-15158.6</v>
      </c>
    </row>
    <row r="15" spans="1:14" hidden="1" x14ac:dyDescent="0.25"/>
    <row r="16" spans="1:14" hidden="1" x14ac:dyDescent="0.25"/>
    <row r="17" spans="2:14" hidden="1" x14ac:dyDescent="0.25">
      <c r="B17" s="5">
        <v>902</v>
      </c>
      <c r="C17" s="5" t="s">
        <v>136</v>
      </c>
      <c r="D17" s="41">
        <f>D7</f>
        <v>17180.5</v>
      </c>
      <c r="E17" s="41">
        <f>E7</f>
        <v>19953.599999999999</v>
      </c>
      <c r="F17" s="41">
        <f>F7</f>
        <v>19953.599999999999</v>
      </c>
      <c r="G17" s="41"/>
      <c r="H17" s="41">
        <f>H7</f>
        <v>0</v>
      </c>
      <c r="J17" s="41">
        <f>J7</f>
        <v>17180.5</v>
      </c>
      <c r="K17" s="41">
        <f>K7</f>
        <v>19953.599999999999</v>
      </c>
      <c r="L17" s="41">
        <f>L7</f>
        <v>19953.599999999999</v>
      </c>
      <c r="M17" s="41"/>
      <c r="N17" s="41">
        <f>N7</f>
        <v>0</v>
      </c>
    </row>
    <row r="18" spans="2:14" hidden="1" x14ac:dyDescent="0.25">
      <c r="B18" s="5"/>
      <c r="C18" s="5"/>
      <c r="D18" s="41"/>
      <c r="E18" s="41"/>
      <c r="F18" s="41"/>
      <c r="G18" s="41"/>
      <c r="H18" s="41"/>
      <c r="J18" s="41"/>
      <c r="K18" s="41"/>
      <c r="L18" s="41"/>
      <c r="M18" s="41"/>
      <c r="N18" s="41"/>
    </row>
    <row r="19" spans="2:14" hidden="1" x14ac:dyDescent="0.25">
      <c r="B19" s="5">
        <v>907</v>
      </c>
      <c r="C19" s="5" t="s">
        <v>125</v>
      </c>
      <c r="D19" s="41">
        <f>D6</f>
        <v>32029.200000000001</v>
      </c>
      <c r="E19" s="41">
        <f>E6</f>
        <v>32576</v>
      </c>
      <c r="F19" s="41">
        <f>F6</f>
        <v>32576</v>
      </c>
      <c r="G19" s="41"/>
      <c r="H19" s="41">
        <f>H6</f>
        <v>0</v>
      </c>
      <c r="J19" s="41">
        <f>J6</f>
        <v>0</v>
      </c>
      <c r="K19" s="41">
        <f>K6</f>
        <v>32576</v>
      </c>
      <c r="L19" s="41">
        <f>L6</f>
        <v>32576</v>
      </c>
      <c r="M19" s="41"/>
      <c r="N19" s="41">
        <f>N6</f>
        <v>0</v>
      </c>
    </row>
    <row r="20" spans="2:14" hidden="1" x14ac:dyDescent="0.25">
      <c r="B20" s="5"/>
      <c r="C20" s="5"/>
      <c r="D20" s="41"/>
      <c r="E20" s="41"/>
      <c r="F20" s="41"/>
      <c r="G20" s="41"/>
      <c r="H20" s="41"/>
      <c r="J20" s="41"/>
      <c r="K20" s="41"/>
      <c r="L20" s="41"/>
      <c r="M20" s="41"/>
      <c r="N20" s="41"/>
    </row>
    <row r="21" spans="2:14" hidden="1" x14ac:dyDescent="0.25">
      <c r="B21" s="5">
        <v>914</v>
      </c>
      <c r="C21" s="5" t="s">
        <v>135</v>
      </c>
      <c r="D21" s="41" t="e">
        <f>#REF!+#REF!</f>
        <v>#REF!</v>
      </c>
      <c r="E21" s="41" t="e">
        <f>#REF!+#REF!</f>
        <v>#REF!</v>
      </c>
      <c r="F21" s="41" t="e">
        <f>#REF!+#REF!</f>
        <v>#REF!</v>
      </c>
      <c r="G21" s="41"/>
      <c r="H21" s="41" t="e">
        <f>#REF!+#REF!</f>
        <v>#REF!</v>
      </c>
      <c r="J21" s="41" t="e">
        <f>#REF!+#REF!</f>
        <v>#REF!</v>
      </c>
      <c r="K21" s="41" t="e">
        <f>#REF!+#REF!</f>
        <v>#REF!</v>
      </c>
      <c r="L21" s="41" t="e">
        <f>#REF!+#REF!</f>
        <v>#REF!</v>
      </c>
      <c r="M21" s="41"/>
      <c r="N21" s="41" t="e">
        <f>#REF!+#REF!</f>
        <v>#REF!</v>
      </c>
    </row>
    <row r="22" spans="2:14" hidden="1" x14ac:dyDescent="0.25">
      <c r="B22" s="5"/>
      <c r="C22" s="5"/>
      <c r="D22" s="41"/>
      <c r="E22" s="41"/>
      <c r="F22" s="41"/>
      <c r="G22" s="41"/>
      <c r="H22" s="41"/>
      <c r="J22" s="41"/>
      <c r="K22" s="41"/>
      <c r="L22" s="41"/>
      <c r="M22" s="41"/>
      <c r="N22" s="41"/>
    </row>
    <row r="23" spans="2:14" hidden="1" x14ac:dyDescent="0.25">
      <c r="B23" s="5"/>
      <c r="C23" s="5"/>
      <c r="D23" s="41" t="e">
        <f>SUM(D17:D21)</f>
        <v>#REF!</v>
      </c>
      <c r="E23" s="41" t="e">
        <f>SUM(E17:E21)</f>
        <v>#REF!</v>
      </c>
      <c r="F23" s="41" t="e">
        <f>SUM(F17:F21)</f>
        <v>#REF!</v>
      </c>
      <c r="G23" s="41"/>
      <c r="H23" s="41" t="e">
        <f>SUM(H17:H21)</f>
        <v>#REF!</v>
      </c>
      <c r="J23" s="41" t="e">
        <f>SUM(J17:J21)</f>
        <v>#REF!</v>
      </c>
      <c r="K23" s="41" t="e">
        <f>SUM(K17:K21)</f>
        <v>#REF!</v>
      </c>
      <c r="L23" s="41" t="e">
        <f>SUM(L17:L21)</f>
        <v>#REF!</v>
      </c>
      <c r="M23" s="41"/>
      <c r="N23" s="41" t="e">
        <f>SUM(N17:N21)</f>
        <v>#REF!</v>
      </c>
    </row>
    <row r="24" spans="2:14" hidden="1" x14ac:dyDescent="0.25">
      <c r="B24" s="5"/>
      <c r="C24" s="5"/>
      <c r="D24" s="41" t="e">
        <f>D23-D9</f>
        <v>#REF!</v>
      </c>
      <c r="E24" s="41" t="e">
        <f>E23-E9</f>
        <v>#REF!</v>
      </c>
      <c r="F24" s="41" t="e">
        <f>F23-F9</f>
        <v>#REF!</v>
      </c>
      <c r="G24" s="41"/>
      <c r="H24" s="41" t="e">
        <f>H23-H9</f>
        <v>#REF!</v>
      </c>
      <c r="J24" s="41" t="e">
        <f>J23-J9</f>
        <v>#REF!</v>
      </c>
      <c r="K24" s="41" t="e">
        <f>K23-K9</f>
        <v>#REF!</v>
      </c>
      <c r="L24" s="41" t="e">
        <f>L23-L9</f>
        <v>#REF!</v>
      </c>
      <c r="M24" s="41"/>
      <c r="N24" s="41" t="e">
        <f>N23-N9</f>
        <v>#REF!</v>
      </c>
    </row>
    <row r="25" spans="2:14" hidden="1" x14ac:dyDescent="0.25"/>
    <row r="26" spans="2:14" hidden="1" x14ac:dyDescent="0.25"/>
    <row r="27" spans="2:14" hidden="1" x14ac:dyDescent="0.25"/>
    <row r="33" spans="2:3" x14ac:dyDescent="0.25">
      <c r="B33" s="84"/>
      <c r="C33" s="84"/>
    </row>
  </sheetData>
  <autoFilter ref="A5:N9"/>
  <mergeCells count="4">
    <mergeCell ref="A2:N2"/>
    <mergeCell ref="A4:N4"/>
    <mergeCell ref="A1:N1"/>
    <mergeCell ref="D11:N11"/>
  </mergeCells>
  <printOptions horizontalCentered="1"/>
  <pageMargins left="0" right="0" top="0" bottom="0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Рз, Пр</vt:lpstr>
      <vt:lpstr>Дотация 23 - 25</vt:lpstr>
      <vt:lpstr>Дотация на сбалансированность 2</vt:lpstr>
      <vt:lpstr>Субсидии 2023</vt:lpstr>
      <vt:lpstr>Субсидии 24-25</vt:lpstr>
      <vt:lpstr>Субвенции 2023</vt:lpstr>
      <vt:lpstr>Субвенции 24 -25</vt:lpstr>
      <vt:lpstr>Иные 2023</vt:lpstr>
      <vt:lpstr>Иные 2024 - 2025</vt:lpstr>
      <vt:lpstr>Переданные 2023 - 2025</vt:lpstr>
      <vt:lpstr>Бюджет района</vt:lpstr>
      <vt:lpstr>'Бюджет района'!Заголовки_для_печати</vt:lpstr>
      <vt:lpstr>'Дотация 23 - 25'!Заголовки_для_печати</vt:lpstr>
      <vt:lpstr>'Дотация на сбалансированность 2'!Заголовки_для_печати</vt:lpstr>
      <vt:lpstr>'Иные 2023'!Заголовки_для_печати</vt:lpstr>
      <vt:lpstr>'Иные 2024 - 2025'!Заголовки_для_печати</vt:lpstr>
      <vt:lpstr>'Переданные 2023 - 2025'!Заголовки_для_печати</vt:lpstr>
      <vt:lpstr>'Рз, Пр'!Заголовки_для_печати</vt:lpstr>
      <vt:lpstr>'Субвенции 2023'!Заголовки_для_печати</vt:lpstr>
      <vt:lpstr>'Субвенции 24 -25'!Заголовки_для_печати</vt:lpstr>
      <vt:lpstr>'Субсидии 2023'!Заголовки_для_печати</vt:lpstr>
      <vt:lpstr>'Субсидии 24-25'!Заголовки_для_печати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2023-09-04T14:56:52Z</cp:lastPrinted>
  <dcterms:created xsi:type="dcterms:W3CDTF">2020-07-23T07:51:07Z</dcterms:created>
  <dcterms:modified xsi:type="dcterms:W3CDTF">2023-10-10T07:11:09Z</dcterms:modified>
</cp:coreProperties>
</file>